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66925"/>
  <mc:AlternateContent xmlns:mc="http://schemas.openxmlformats.org/markup-compatibility/2006">
    <mc:Choice Requires="x15">
      <x15ac:absPath xmlns:x15ac="http://schemas.microsoft.com/office/spreadsheetml/2010/11/ac" url="X:\Databases\APD\APD Projects\2514\"/>
    </mc:Choice>
  </mc:AlternateContent>
  <xr:revisionPtr revIDLastSave="0" documentId="13_ncr:1_{72A54AA2-BF5E-4F68-ACD9-EAF396064BA5}" xr6:coauthVersionLast="45" xr6:coauthVersionMax="45" xr10:uidLastSave="{00000000-0000-0000-0000-000000000000}"/>
  <workbookProtection workbookAlgorithmName="SHA-512" workbookHashValue="Oj/0pGnJiot9vwgHLPWSKdVE9gdPIL3HWVesaavjlgxfHGjW+kUcdYlbT3Vya1ewV+txpP4l3F6pwxiqHM+s8g==" workbookSaltValue="TleEiyEKJtguFdJ9iLVd/A==" workbookSpinCount="100000" lockStructure="1"/>
  <bookViews>
    <workbookView xWindow="4590" yWindow="1095" windowWidth="23100" windowHeight="14025" tabRatio="875" xr2:uid="{00000000-000D-0000-FFFF-FFFF00000000}"/>
  </bookViews>
  <sheets>
    <sheet name="Cover" sheetId="12" r:id="rId1"/>
    <sheet name="Tank Information" sheetId="13" r:id="rId2"/>
    <sheet name="Calculated Emission Totals" sheetId="1" r:id="rId3"/>
    <sheet name="Equation Glossary" sheetId="11" r:id="rId4"/>
    <sheet name="Vapor Factors" sheetId="4" state="veryHidden" r:id="rId5"/>
    <sheet name="Hidden Data" sheetId="5" state="veryHidden" r:id="rId6"/>
    <sheet name="AP-42 Met. Data" sheetId="10" state="veryHidden" r:id="rId7"/>
    <sheet name="notes" sheetId="14" r:id="rId8"/>
  </sheets>
  <externalReferences>
    <externalReference r:id="rId9"/>
  </externalReferences>
  <definedNames>
    <definedName name="_xlnm._FilterDatabase" localSheetId="6" hidden="1">'AP-42 Met. Data'!$A$112:$P$112</definedName>
    <definedName name="_xlnm._FilterDatabase" localSheetId="4" hidden="1">'Vapor Factors'!$A$2:$J$2</definedName>
    <definedName name="Access" localSheetId="1">'Hidden Data'!#REF!</definedName>
    <definedName name="Access">'Hidden Data'!#REF!</definedName>
    <definedName name="Conti" localSheetId="1">'Hidden Data'!#REF!</definedName>
    <definedName name="Conti">'Hidden Data'!#REF!</definedName>
    <definedName name="DeckIFR" localSheetId="1">'Hidden Data'!#REF!</definedName>
    <definedName name="DeckIFR">'Hidden Data'!#REF!</definedName>
    <definedName name="DeckPontoon" localSheetId="1">'Hidden Data'!#REF!</definedName>
    <definedName name="DeckPontoon">'Hidden Data'!#REF!</definedName>
    <definedName name="DoubleDeck" localSheetId="1">'Hidden Data'!#REF!</definedName>
    <definedName name="DoubleDeck">'Hidden Data'!#REF!</definedName>
    <definedName name="FRSCol" localSheetId="1">'Hidden Data'!#REF!</definedName>
    <definedName name="FRSCol">'Hidden Data'!#REF!</definedName>
    <definedName name="GFWell" localSheetId="1">'Hidden Data'!#REF!</definedName>
    <definedName name="GFWell">'Hidden Data'!#REF!</definedName>
    <definedName name="GHatch" localSheetId="1">'Hidden Data'!#REF!</definedName>
    <definedName name="GHatch">'Hidden Data'!#REF!</definedName>
    <definedName name="LadderGuide" localSheetId="1">'Hidden Data'!#REF!</definedName>
    <definedName name="LadderGuide">'Hidden Data'!#REF!</definedName>
    <definedName name="LadderWell" localSheetId="1">'Hidden Data'!#REF!</definedName>
    <definedName name="LadderWell">'Hidden Data'!#REF!</definedName>
    <definedName name="NoOpen" localSheetId="1">'Hidden Data'!#REF!</definedName>
    <definedName name="NoOpen">'Hidden Data'!#REF!</definedName>
    <definedName name="Panel">'Hidden Data'!#REF!</definedName>
    <definedName name="_xlnm.Print_Area" localSheetId="0">Cover!$A$2:$C$31</definedName>
    <definedName name="_xlnm.Print_Area" localSheetId="3">'Equation Glossary'!$A$2:$E$51</definedName>
    <definedName name="_xlnm.Print_Area" localSheetId="1">'Tank Information'!$A$1:$D$98</definedName>
    <definedName name="RimVent" localSheetId="1">'Hidden Data'!#REF!</definedName>
    <definedName name="RimVent">'Hidden Data'!#REF!</definedName>
    <definedName name="Riveted" localSheetId="1">'Hidden Data'!#REF!</definedName>
    <definedName name="Riveted">'Hidden Data'!#REF!</definedName>
    <definedName name="Slotted" localSheetId="1">'Hidden Data'!#REF!</definedName>
    <definedName name="Slotted">'Hidden Data'!#REF!</definedName>
    <definedName name="Stub" localSheetId="1">'Hidden Data'!#REF!</definedName>
    <definedName name="Stub">'Hidden Data'!#REF!</definedName>
    <definedName name="Subsystem1" localSheetId="1">'[1]Hidden Data'!$D$4:$D$6</definedName>
    <definedName name="Subsystem1">'Hidden Data'!#REF!</definedName>
    <definedName name="Subsystem2" localSheetId="1">'[1]Hidden Data'!$D$7:$D$9</definedName>
    <definedName name="Subsystem2">'Hidden Data'!#REF!</definedName>
    <definedName name="TitleRegion1.a2.d62.2">'Tank Information'!$A$2:$D$2</definedName>
    <definedName name="TitleRegion1.a2.e43.4">'Equation Glossary'!$A$3</definedName>
    <definedName name="TitleRegion1.a2.o43.3">'Calculated Emission Totals'!$A$3</definedName>
    <definedName name="TitleRegion2.a64.c87.2">'Tank Information'!$A$72</definedName>
    <definedName name="Unslotted" localSheetId="1">'Hidden Data'!#REF!</definedName>
    <definedName name="Unslotted">'Hidden Data'!#REF!</definedName>
    <definedName name="Vacuum" localSheetId="1">'Hidden Data'!#REF!</definedName>
    <definedName name="Vacuum">'Hidden Data'!#REF!</definedName>
    <definedName name="Welded" localSheetId="1">'Hidden Data'!#REF!</definedName>
    <definedName name="Welded">'Hidden 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 r="D6" i="1" l="1"/>
  <c r="D35" i="1"/>
  <c r="F19" i="4" l="1"/>
  <c r="F18" i="4"/>
  <c r="F17" i="4"/>
  <c r="F16" i="4"/>
  <c r="F15" i="4"/>
  <c r="D5" i="1"/>
  <c r="B16" i="13" l="1"/>
  <c r="B22" i="13" s="1"/>
  <c r="B25" i="13" l="1"/>
  <c r="B26" i="13" s="1"/>
  <c r="B23" i="13"/>
  <c r="O8" i="1"/>
  <c r="N8" i="1"/>
  <c r="M8" i="1"/>
  <c r="L8" i="1"/>
  <c r="K8" i="1"/>
  <c r="J8" i="1"/>
  <c r="I8" i="1"/>
  <c r="H8" i="1"/>
  <c r="G8" i="1"/>
  <c r="F8" i="1"/>
  <c r="E8" i="1"/>
  <c r="D8" i="1"/>
  <c r="O7" i="1"/>
  <c r="N7" i="1"/>
  <c r="M7" i="1"/>
  <c r="L7" i="1"/>
  <c r="K7" i="1"/>
  <c r="J7" i="1"/>
  <c r="I7" i="1"/>
  <c r="H7" i="1"/>
  <c r="G7" i="1"/>
  <c r="F7" i="1"/>
  <c r="E7" i="1"/>
  <c r="D7" i="1"/>
  <c r="O6" i="1"/>
  <c r="N6" i="1"/>
  <c r="M6" i="1"/>
  <c r="L6" i="1"/>
  <c r="K6" i="1"/>
  <c r="J6" i="1"/>
  <c r="I6" i="1"/>
  <c r="H6" i="1"/>
  <c r="G6" i="1"/>
  <c r="F6" i="1"/>
  <c r="E6" i="1"/>
  <c r="B51" i="13"/>
  <c r="B34" i="13"/>
  <c r="B31" i="13"/>
  <c r="B21" i="13"/>
  <c r="B20" i="13"/>
  <c r="B18" i="13"/>
  <c r="B19" i="13" s="1"/>
  <c r="B9" i="13"/>
  <c r="B35" i="13" l="1"/>
  <c r="B38" i="13" l="1"/>
  <c r="B39" i="13" s="1"/>
  <c r="B40" i="13"/>
  <c r="B46" i="13"/>
  <c r="B66" i="13"/>
  <c r="B70" i="13"/>
  <c r="B78" i="13" s="1"/>
  <c r="B42" i="13" l="1"/>
  <c r="B41" i="13"/>
  <c r="D30" i="1" s="1"/>
  <c r="D31" i="1" s="1"/>
  <c r="D36" i="1" s="1"/>
  <c r="B79" i="13"/>
  <c r="B80" i="13"/>
  <c r="B87" i="13" l="1"/>
  <c r="B89" i="13"/>
  <c r="E3" i="4"/>
  <c r="K4" i="4"/>
  <c r="D4" i="4" s="1"/>
  <c r="B52" i="13" s="1"/>
  <c r="B90" i="13" l="1"/>
  <c r="B88" i="13"/>
  <c r="E4" i="4"/>
  <c r="B53" i="13" s="1"/>
  <c r="F4" i="4"/>
  <c r="B54" i="13" s="1"/>
  <c r="D21" i="1" s="1"/>
  <c r="E15" i="4" l="1"/>
  <c r="Q15" i="4"/>
  <c r="E19" i="4"/>
  <c r="E18" i="4"/>
  <c r="E17" i="4"/>
  <c r="E16" i="4"/>
  <c r="D20" i="1" l="1"/>
  <c r="D17" i="1"/>
  <c r="F3" i="4" l="1"/>
  <c r="Q19" i="4"/>
  <c r="Q18" i="4"/>
  <c r="Q17" i="4"/>
  <c r="Q16" i="4"/>
  <c r="Q3" i="4"/>
  <c r="D19" i="1" l="1"/>
  <c r="D18" i="1" l="1"/>
  <c r="D26" i="1" l="1"/>
  <c r="D25" i="1"/>
  <c r="D27" i="1" l="1"/>
  <c r="D28" i="1" l="1"/>
  <c r="H28" i="1"/>
  <c r="O28" i="1"/>
  <c r="G28" i="1"/>
  <c r="N28" i="1"/>
  <c r="F28" i="1"/>
  <c r="M28" i="1"/>
  <c r="E28" i="1"/>
  <c r="L28" i="1"/>
  <c r="K28" i="1"/>
  <c r="I28" i="1"/>
  <c r="J28" i="1"/>
  <c r="I9" i="1"/>
  <c r="I15" i="1" s="1"/>
  <c r="H10" i="1"/>
  <c r="O10" i="1"/>
  <c r="K10" i="1"/>
  <c r="D10" i="1"/>
  <c r="I10" i="1"/>
  <c r="G10" i="1"/>
  <c r="L10" i="1"/>
  <c r="E10" i="1"/>
  <c r="J10" i="1"/>
  <c r="M10" i="1"/>
  <c r="N10" i="1"/>
  <c r="F10" i="1"/>
  <c r="M9" i="1"/>
  <c r="M15" i="1" s="1"/>
  <c r="E9" i="1"/>
  <c r="E15" i="1" s="1"/>
  <c r="J9" i="1"/>
  <c r="J15" i="1" s="1"/>
  <c r="L9" i="1"/>
  <c r="L15" i="1" s="1"/>
  <c r="G9" i="1"/>
  <c r="G15" i="1" s="1"/>
  <c r="K9" i="1"/>
  <c r="K15" i="1" s="1"/>
  <c r="F9" i="1"/>
  <c r="F15" i="1" s="1"/>
  <c r="H9" i="1"/>
  <c r="H15" i="1" s="1"/>
  <c r="O9" i="1"/>
  <c r="O15" i="1" s="1"/>
  <c r="N9" i="1"/>
  <c r="N15" i="1" s="1"/>
  <c r="D9" i="1"/>
  <c r="D15" i="1" s="1"/>
  <c r="D11" i="1" l="1"/>
  <c r="D16" i="1" s="1"/>
  <c r="G11" i="1"/>
  <c r="I11" i="1"/>
  <c r="M11" i="1"/>
  <c r="O11" i="1"/>
  <c r="F11" i="1"/>
  <c r="N11" i="1"/>
  <c r="K11" i="1"/>
  <c r="J11" i="1"/>
  <c r="H11" i="1"/>
  <c r="L11" i="1"/>
  <c r="E11" i="1"/>
  <c r="K16" i="1" l="1"/>
  <c r="K12" i="1"/>
  <c r="H16" i="1"/>
  <c r="H12" i="1"/>
  <c r="N16" i="1"/>
  <c r="N12" i="1"/>
  <c r="F12" i="1"/>
  <c r="F16" i="1"/>
  <c r="O16" i="1"/>
  <c r="O12" i="1"/>
  <c r="M12" i="1"/>
  <c r="M16" i="1"/>
  <c r="L16" i="1"/>
  <c r="L12" i="1"/>
  <c r="D12" i="1"/>
  <c r="E16" i="1"/>
  <c r="E12" i="1"/>
  <c r="I16" i="1"/>
  <c r="I12" i="1"/>
  <c r="J16" i="1"/>
  <c r="J12" i="1"/>
  <c r="G12" i="1"/>
  <c r="G16" i="1"/>
  <c r="K22" i="1" l="1"/>
  <c r="K33" i="1" s="1"/>
  <c r="E22" i="1"/>
  <c r="E37" i="1" s="1"/>
  <c r="E39" i="1" s="1"/>
  <c r="G14" i="1"/>
  <c r="G24" i="1" s="1"/>
  <c r="F14" i="1"/>
  <c r="F24" i="1" s="1"/>
  <c r="J22" i="1"/>
  <c r="J33" i="1" s="1"/>
  <c r="N14" i="1"/>
  <c r="N24" i="1" s="1"/>
  <c r="I13" i="1"/>
  <c r="I23" i="1" s="1"/>
  <c r="H22" i="1"/>
  <c r="H37" i="1" s="1"/>
  <c r="H39" i="1" s="1"/>
  <c r="O22" i="1"/>
  <c r="O33" i="1" s="1"/>
  <c r="L22" i="1"/>
  <c r="L33" i="1" s="1"/>
  <c r="M22" i="1"/>
  <c r="M33" i="1" s="1"/>
  <c r="D13" i="1"/>
  <c r="D45" i="1" s="1"/>
  <c r="D46" i="1" s="1"/>
  <c r="D47" i="1" s="1"/>
  <c r="M13" i="1"/>
  <c r="O14" i="1"/>
  <c r="O24" i="1" s="1"/>
  <c r="H13" i="1"/>
  <c r="H14" i="1"/>
  <c r="H24" i="1" s="1"/>
  <c r="E13" i="1"/>
  <c r="K14" i="1"/>
  <c r="K24" i="1" s="1"/>
  <c r="O13" i="1"/>
  <c r="N13" i="1"/>
  <c r="L13" i="1"/>
  <c r="L14" i="1"/>
  <c r="L24" i="1" s="1"/>
  <c r="J14" i="1"/>
  <c r="J24" i="1" s="1"/>
  <c r="M14" i="1"/>
  <c r="M24" i="1" s="1"/>
  <c r="G22" i="1"/>
  <c r="J13" i="1"/>
  <c r="N22" i="1"/>
  <c r="G13" i="1"/>
  <c r="F22" i="1"/>
  <c r="E14" i="1"/>
  <c r="E24" i="1" s="1"/>
  <c r="K13" i="1"/>
  <c r="F13" i="1"/>
  <c r="D22" i="1"/>
  <c r="D33" i="1" s="1"/>
  <c r="D14" i="1"/>
  <c r="D24" i="1" s="1"/>
  <c r="I22" i="1"/>
  <c r="I14" i="1"/>
  <c r="I24" i="1" s="1"/>
  <c r="E33" i="1"/>
  <c r="L37" i="1" l="1"/>
  <c r="L39" i="1" s="1"/>
  <c r="M37" i="1"/>
  <c r="M39" i="1" s="1"/>
  <c r="O37" i="1"/>
  <c r="O39" i="1" s="1"/>
  <c r="K37" i="1"/>
  <c r="K39" i="1" s="1"/>
  <c r="J37" i="1"/>
  <c r="J39" i="1" s="1"/>
  <c r="H33" i="1"/>
  <c r="K46" i="1"/>
  <c r="K45" i="1"/>
  <c r="M46" i="1"/>
  <c r="M45" i="1"/>
  <c r="G46" i="1"/>
  <c r="G45" i="1"/>
  <c r="E46" i="1"/>
  <c r="E45" i="1"/>
  <c r="I46" i="1"/>
  <c r="I45" i="1"/>
  <c r="I29" i="1"/>
  <c r="I32" i="1" s="1"/>
  <c r="I38" i="1" s="1"/>
  <c r="J46" i="1"/>
  <c r="J45" i="1"/>
  <c r="N46" i="1"/>
  <c r="N45" i="1"/>
  <c r="L46" i="1"/>
  <c r="L45" i="1"/>
  <c r="O46" i="1"/>
  <c r="O45" i="1"/>
  <c r="H46" i="1"/>
  <c r="H45" i="1"/>
  <c r="F46" i="1"/>
  <c r="F47" i="1" s="1"/>
  <c r="F45" i="1"/>
  <c r="D23" i="1"/>
  <c r="D29" i="1" s="1"/>
  <c r="J23" i="1"/>
  <c r="J29" i="1" s="1"/>
  <c r="J32" i="1" s="1"/>
  <c r="J38" i="1" s="1"/>
  <c r="N23" i="1"/>
  <c r="N29" i="1" s="1"/>
  <c r="N32" i="1" s="1"/>
  <c r="N38" i="1" s="1"/>
  <c r="O23" i="1"/>
  <c r="O29" i="1" s="1"/>
  <c r="O32" i="1" s="1"/>
  <c r="O38" i="1" s="1"/>
  <c r="H23" i="1"/>
  <c r="H29" i="1" s="1"/>
  <c r="H32" i="1" s="1"/>
  <c r="H38" i="1" s="1"/>
  <c r="F23" i="1"/>
  <c r="F29" i="1" s="1"/>
  <c r="F32" i="1" s="1"/>
  <c r="F38" i="1" s="1"/>
  <c r="K23" i="1"/>
  <c r="K29" i="1" s="1"/>
  <c r="K32" i="1" s="1"/>
  <c r="K38" i="1" s="1"/>
  <c r="M23" i="1"/>
  <c r="M29" i="1" s="1"/>
  <c r="M32" i="1" s="1"/>
  <c r="M38" i="1" s="1"/>
  <c r="G23" i="1"/>
  <c r="G29" i="1" s="1"/>
  <c r="G32" i="1" s="1"/>
  <c r="G38" i="1" s="1"/>
  <c r="L23" i="1"/>
  <c r="L29" i="1" s="1"/>
  <c r="L32" i="1" s="1"/>
  <c r="L38" i="1" s="1"/>
  <c r="E23" i="1"/>
  <c r="N33" i="1"/>
  <c r="F37" i="1"/>
  <c r="F39" i="1" s="1"/>
  <c r="N37" i="1"/>
  <c r="N39" i="1" s="1"/>
  <c r="D37" i="1"/>
  <c r="D39" i="1" s="1"/>
  <c r="G37" i="1"/>
  <c r="G39" i="1" s="1"/>
  <c r="F33" i="1"/>
  <c r="G33" i="1"/>
  <c r="I33" i="1"/>
  <c r="I37" i="1"/>
  <c r="I39" i="1" s="1"/>
  <c r="E47" i="1" l="1"/>
  <c r="N47" i="1"/>
  <c r="I47" i="1"/>
  <c r="K47" i="1"/>
  <c r="D32" i="1"/>
  <c r="D38" i="1" s="1"/>
  <c r="D41" i="1" s="1"/>
  <c r="G47" i="1"/>
  <c r="L47" i="1"/>
  <c r="D48" i="1" s="1"/>
  <c r="B75" i="13" s="1"/>
  <c r="H47" i="1"/>
  <c r="J47" i="1"/>
  <c r="M47" i="1"/>
  <c r="O47" i="1"/>
  <c r="E29" i="1"/>
  <c r="E32" i="1" s="1"/>
  <c r="E38" i="1" s="1"/>
  <c r="E40" i="1" s="1"/>
  <c r="F40" i="1"/>
  <c r="O40" i="1"/>
  <c r="M40" i="1"/>
  <c r="G40" i="1"/>
  <c r="H40" i="1"/>
  <c r="J40" i="1"/>
  <c r="K40" i="1"/>
  <c r="L40" i="1"/>
  <c r="I40" i="1"/>
  <c r="B84" i="13" l="1"/>
  <c r="B94" i="13" s="1"/>
  <c r="B82" i="13"/>
  <c r="B92" i="13" s="1"/>
  <c r="D40" i="1"/>
  <c r="N40" i="1"/>
  <c r="D42" i="1"/>
  <c r="D43" i="1" l="1"/>
  <c r="B74" i="13" s="1"/>
  <c r="D44" i="1" l="1"/>
  <c r="B76" i="13" s="1"/>
  <c r="B85" i="13" l="1"/>
  <c r="B95" i="13" s="1"/>
  <c r="B83" i="13"/>
  <c r="B9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tc={5FDC25B6-28C9-4342-9D08-082A41632E64}</author>
    <author>tc={6E8ECB7B-DCA4-4DA3-8A79-7183B97B9122}</author>
  </authors>
  <commentList>
    <comment ref="A47" authorId="0" shapeId="0" xr:uid="{5FDC25B6-28C9-4342-9D08-082A41632E64}">
      <text>
        <t>[Threaded comment]
Your version of Excel allows you to read this threaded comment; however, any edits to it will get removed if the file is opened in a newer version of Excel. Learn more: https://go.microsoft.com/fwlink/?linkid=870924
Comment:
    update number</t>
      </text>
    </comment>
    <comment ref="A48" authorId="1" shapeId="0" xr:uid="{6E8ECB7B-DCA4-4DA3-8A79-7183B97B9122}">
      <text>
        <t>[Threaded comment]
Your version of Excel allows you to read this threaded comment; however, any edits to it will get removed if the file is opened in a newer version of Excel. Learn more: https://go.microsoft.com/fwlink/?linkid=870924
Comment:
    update number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tc={807B2D61-120A-41C3-B7EE-D04917217ECA}</author>
  </authors>
  <commentList>
    <comment ref="U2" authorId="0" shapeId="0" xr:uid="{807B2D61-120A-41C3-B7EE-D04917217ECA}">
      <text>
        <t>[Threaded comment]
Your version of Excel allows you to read this threaded comment; however, any edits to it will get removed if the file is opened in a newer version of Excel. Learn more: https://go.microsoft.com/fwlink/?linkid=870924
Comment:
    added for Antoine Referecne and selection</t>
      </text>
    </comment>
  </commentList>
</comments>
</file>

<file path=xl/sharedStrings.xml><?xml version="1.0" encoding="utf-8"?>
<sst xmlns="http://schemas.openxmlformats.org/spreadsheetml/2006/main" count="1136" uniqueCount="420">
  <si>
    <t>No. 6 Fuel Oil</t>
  </si>
  <si>
    <t>No. 2 Fuel Oil (Diesel)</t>
  </si>
  <si>
    <t>Naphthalene</t>
  </si>
  <si>
    <t>Jet naphtha (JP-4)</t>
  </si>
  <si>
    <t>Jet kerosene</t>
  </si>
  <si>
    <t>Gasoline RVP 8.3</t>
  </si>
  <si>
    <t>Gasoline RVP 7.8</t>
  </si>
  <si>
    <t>Gasoline RVP 7</t>
  </si>
  <si>
    <t>Gasoline RVP 15</t>
  </si>
  <si>
    <t>Gasoline RVP 13.5</t>
  </si>
  <si>
    <t>Gasoline RVP 13</t>
  </si>
  <si>
    <t>Gasoline RVP 11.5</t>
  </si>
  <si>
    <t>Gasoline RVP 10</t>
  </si>
  <si>
    <t>Crude oil RVP 5</t>
  </si>
  <si>
    <t>Gunite Lining</t>
  </si>
  <si>
    <t>Dense Rust</t>
  </si>
  <si>
    <t>Light Rust</t>
  </si>
  <si>
    <t xml:space="preserve">ASTM-D86 Distillation Slope At 10 Volume Percent Evaporated, (EF/vol%) </t>
  </si>
  <si>
    <t>Reid Vapor Pressure (psi)</t>
  </si>
  <si>
    <t>Normal Boiling Point (°F)</t>
  </si>
  <si>
    <t>Max Temp (°F)</t>
  </si>
  <si>
    <t>Min Temp (°F)</t>
  </si>
  <si>
    <t>C (°C)</t>
  </si>
  <si>
    <t>Name</t>
  </si>
  <si>
    <r>
      <t>Clingage Factors (bbl/10</t>
    </r>
    <r>
      <rPr>
        <b/>
        <vertAlign val="superscript"/>
        <sz val="10"/>
        <color theme="1"/>
        <rFont val="Arial"/>
        <family val="2"/>
      </rPr>
      <t>3</t>
    </r>
    <r>
      <rPr>
        <b/>
        <sz val="10"/>
        <color theme="1"/>
        <rFont val="Arial"/>
        <family val="2"/>
      </rPr>
      <t xml:space="preserve"> ft</t>
    </r>
    <r>
      <rPr>
        <b/>
        <vertAlign val="superscript"/>
        <sz val="10"/>
        <color theme="1"/>
        <rFont val="Arial"/>
        <family val="2"/>
      </rPr>
      <t>2</t>
    </r>
    <r>
      <rPr>
        <b/>
        <sz val="10"/>
        <color theme="1"/>
        <rFont val="Arial"/>
        <family val="2"/>
      </rPr>
      <t>)</t>
    </r>
  </si>
  <si>
    <t>Antoine's Equation</t>
  </si>
  <si>
    <t>Fixed</t>
  </si>
  <si>
    <t>PAINT SOLAR ABSORPTANCE</t>
  </si>
  <si>
    <t xml:space="preserve">Paint Condition </t>
  </si>
  <si>
    <t>Tank Type</t>
  </si>
  <si>
    <t>Paint Color</t>
  </si>
  <si>
    <t>New</t>
  </si>
  <si>
    <t>Average</t>
  </si>
  <si>
    <t>Aged</t>
  </si>
  <si>
    <t>Aluminum, Specular</t>
  </si>
  <si>
    <t>Aluminum, Diffuse</t>
  </si>
  <si>
    <t>Aluminum, Mill finish, unpainted</t>
  </si>
  <si>
    <t>Beige/Cream</t>
  </si>
  <si>
    <t>Black</t>
  </si>
  <si>
    <t>Brown</t>
  </si>
  <si>
    <t>Gray, Light</t>
  </si>
  <si>
    <t>Gray, Medium</t>
  </si>
  <si>
    <t>Green, Dark</t>
  </si>
  <si>
    <t>Red, Primer</t>
  </si>
  <si>
    <t>Rust, Red iron oxide</t>
  </si>
  <si>
    <t>Tan</t>
  </si>
  <si>
    <t>White</t>
  </si>
  <si>
    <t>City</t>
  </si>
  <si>
    <t>Abilene, TX</t>
  </si>
  <si>
    <t>Amarillo, TX</t>
  </si>
  <si>
    <t>Austin, TX</t>
  </si>
  <si>
    <t>Brownsville, TX</t>
  </si>
  <si>
    <t>Corpus Christi, TX</t>
  </si>
  <si>
    <t>Del Rio, TX</t>
  </si>
  <si>
    <t>El Paso, TX</t>
  </si>
  <si>
    <t>Galveston, TX</t>
  </si>
  <si>
    <t>Houston, TX</t>
  </si>
  <si>
    <t>Lubbock, TX</t>
  </si>
  <si>
    <t>Midland-Odessa, TX</t>
  </si>
  <si>
    <t>Port Arthur, TX</t>
  </si>
  <si>
    <t>San Angelo, TX</t>
  </si>
  <si>
    <t>San Antonio, TX</t>
  </si>
  <si>
    <t>Victoria, TX</t>
  </si>
  <si>
    <t>Waco, TX</t>
  </si>
  <si>
    <t>Wichita Falls, TX</t>
  </si>
  <si>
    <t>Question</t>
  </si>
  <si>
    <t>Calculated Value</t>
  </si>
  <si>
    <t>Response</t>
  </si>
  <si>
    <t>Yes</t>
  </si>
  <si>
    <t>Tank Dimensions</t>
  </si>
  <si>
    <t>Company Name:</t>
  </si>
  <si>
    <t>Shell Height:</t>
  </si>
  <si>
    <t>Unit</t>
  </si>
  <si>
    <t>gallons</t>
  </si>
  <si>
    <t>[No units]</t>
  </si>
  <si>
    <t>psig</t>
  </si>
  <si>
    <t>ft</t>
  </si>
  <si>
    <t>Preparer Name:</t>
  </si>
  <si>
    <t>Jan</t>
  </si>
  <si>
    <t>Feb</t>
  </si>
  <si>
    <t>Mar</t>
  </si>
  <si>
    <t>Apr</t>
  </si>
  <si>
    <t>May</t>
  </si>
  <si>
    <t>Jun</t>
  </si>
  <si>
    <t>Jul</t>
  </si>
  <si>
    <t>Aug</t>
  </si>
  <si>
    <t>Sep</t>
  </si>
  <si>
    <t>Oct</t>
  </si>
  <si>
    <t>Nov</t>
  </si>
  <si>
    <t>Dec</t>
  </si>
  <si>
    <t>Parameter</t>
  </si>
  <si>
    <t>Breather Vent Pressure Setting</t>
  </si>
  <si>
    <t>Breather Vent Vacuum Setting</t>
  </si>
  <si>
    <t>Daily Vapor Pressure Range</t>
  </si>
  <si>
    <t>Roof Outage</t>
  </si>
  <si>
    <t>Vapor Space Outage</t>
  </si>
  <si>
    <t>Working Loss Product Factor</t>
  </si>
  <si>
    <t>Vented Vapor Saturation Factor</t>
  </si>
  <si>
    <t>Turnover Factor</t>
  </si>
  <si>
    <t>Vapor Space Volume</t>
  </si>
  <si>
    <t>Paint Characteristics</t>
  </si>
  <si>
    <t>Roof Characteristics</t>
  </si>
  <si>
    <t>Breather Vent Settings</t>
  </si>
  <si>
    <t>Location</t>
  </si>
  <si>
    <t>Symbol</t>
  </si>
  <si>
    <t>Units</t>
  </si>
  <si>
    <t>Annual</t>
  </si>
  <si>
    <t>TAN</t>
  </si>
  <si>
    <t>TAX</t>
  </si>
  <si>
    <t>V</t>
  </si>
  <si>
    <t>I</t>
  </si>
  <si>
    <t>PA</t>
  </si>
  <si>
    <t>F</t>
  </si>
  <si>
    <t>mi/hr</t>
  </si>
  <si>
    <t>btu/ft2/day</t>
  </si>
  <si>
    <t>lb/in2</t>
  </si>
  <si>
    <t>Lufkin, TX</t>
  </si>
  <si>
    <t>Liquid Bulk Temperature (°R)</t>
  </si>
  <si>
    <t>Daily Vapor Temperature Range (°R)</t>
  </si>
  <si>
    <t>No</t>
  </si>
  <si>
    <t>Mixture/Component</t>
  </si>
  <si>
    <t>lb/lb mole</t>
  </si>
  <si>
    <t>Dome</t>
  </si>
  <si>
    <t>Cone</t>
  </si>
  <si>
    <t>Vapor Space Expansion Factor</t>
  </si>
  <si>
    <t>Total Losses (lb/year)</t>
  </si>
  <si>
    <t>Stock Vapor Density</t>
  </si>
  <si>
    <t>A Constant</t>
  </si>
  <si>
    <t>C Constant</t>
  </si>
  <si>
    <t>Shell Paint Solar Absorptance:</t>
  </si>
  <si>
    <t>Roof Paint Solar Absorptance:</t>
  </si>
  <si>
    <t>Cone Roof Slope:</t>
  </si>
  <si>
    <t>Pressure Settings:</t>
  </si>
  <si>
    <t>Vacuum Settings:</t>
  </si>
  <si>
    <t>Atmospheric Pressure</t>
  </si>
  <si>
    <t>Breather Vent Pressure Range</t>
  </si>
  <si>
    <t>Average Daily Ambient Temperature (°R)</t>
  </si>
  <si>
    <t>Average Daily Liquid Surface Temperature (°R)</t>
  </si>
  <si>
    <t>Average Daily Max. Liquid Surface Temperature (°R)</t>
  </si>
  <si>
    <t>Average Daily Min. Liquid Surface Temperature (°R)</t>
  </si>
  <si>
    <t>Cone Roof Height:</t>
  </si>
  <si>
    <t>Dome Roof Height:</t>
  </si>
  <si>
    <t>Roof Diameter:</t>
  </si>
  <si>
    <t>Roof Radius:</t>
  </si>
  <si>
    <t>bbl/yr</t>
  </si>
  <si>
    <t>Vent Setting Correction Factor</t>
  </si>
  <si>
    <t>Pressure of the Vapor Space at Normal Operating Conditions:</t>
  </si>
  <si>
    <t>https://www.nrel.gov/gis/solar.html</t>
  </si>
  <si>
    <t>Turnovers per Year:</t>
  </si>
  <si>
    <t>R</t>
  </si>
  <si>
    <t>Tank Maximum Filling Rate:</t>
  </si>
  <si>
    <t>gal/hr</t>
  </si>
  <si>
    <t>Vapor Pressure Equation Constant A</t>
  </si>
  <si>
    <t>Vapor Pressure Equation Constant B</t>
  </si>
  <si>
    <t>B Constant (C)</t>
  </si>
  <si>
    <t>True Vapor Pressure @ Average Daily Liquid Surface Temperature (psia)</t>
  </si>
  <si>
    <t>Does this tank store a liquid with a possibility of undergoing flashing?</t>
  </si>
  <si>
    <t>If using the Laboratory Gas-Oil Ratio (GOR) method, enter the GOR:</t>
  </si>
  <si>
    <t>If using the Laboratory Gas-Oil Ratio (GOR) method, enter the molecular weight of the flash gas:</t>
  </si>
  <si>
    <t>n/a</t>
  </si>
  <si>
    <t>[No Units]</t>
  </si>
  <si>
    <t>scf/bbl</t>
  </si>
  <si>
    <t>scf/lb-mole</t>
  </si>
  <si>
    <t>lb/lb-mole</t>
  </si>
  <si>
    <t>Flashing Loss</t>
  </si>
  <si>
    <t>Laboratory GOR</t>
  </si>
  <si>
    <t>Computer Simulated Modeling</t>
  </si>
  <si>
    <t>Direct Measurement</t>
  </si>
  <si>
    <t>Enter the total calculated or measured emissions from flashing, if necessary:</t>
  </si>
  <si>
    <t>lb/yr</t>
  </si>
  <si>
    <t>lb/hr</t>
  </si>
  <si>
    <t>tpy</t>
  </si>
  <si>
    <t>%</t>
  </si>
  <si>
    <t>psia</t>
  </si>
  <si>
    <t>Flash Initial Pressure:</t>
  </si>
  <si>
    <t>Flash Initial Temperature:</t>
  </si>
  <si>
    <t>Flash Final Pressure:</t>
  </si>
  <si>
    <t>Flash Final Temperature:</t>
  </si>
  <si>
    <t>°F</t>
  </si>
  <si>
    <t>True Vapor Pressure @ Average Daily Max. Liquid Surface Temperature (psia)</t>
  </si>
  <si>
    <t>True Vapor Pressure @ Average Daily Min. Liquid Surface Temperature (psia)</t>
  </si>
  <si>
    <t>Facility Name:</t>
  </si>
  <si>
    <t>Tank Name:</t>
  </si>
  <si>
    <t>Maximum Liquid Height:</t>
  </si>
  <si>
    <t>Tank Volume:</t>
  </si>
  <si>
    <t>Tank Maximum Working Volume:</t>
  </si>
  <si>
    <t>Breather Vent Pressure Range:</t>
  </si>
  <si>
    <t>Dallas-Fort Worth, TX</t>
  </si>
  <si>
    <t>Del Rio, Galveston Data, Wichita Falls from NOAA climate spreadsheets</t>
  </si>
  <si>
    <t>https://www.ncdc.noaa.gov/ghcn/comparative-climatic-data</t>
  </si>
  <si>
    <t>Del Rio, Galveston Data, Wichita Falls = 14.7</t>
  </si>
  <si>
    <t>Used Solar Summaries spreadsheet. (1998-2009) GHI Resource</t>
  </si>
  <si>
    <t>Atmospheric Pressure (psia)</t>
  </si>
  <si>
    <t>Vapor Molecular Weight (lb/lb mole)</t>
  </si>
  <si>
    <t>Shell Diameter:</t>
  </si>
  <si>
    <t>ΔPB</t>
  </si>
  <si>
    <t>True Vapor Pressure @ 60°F</t>
  </si>
  <si>
    <t>B</t>
  </si>
  <si>
    <t>A</t>
  </si>
  <si>
    <t>Standing Losses (lb/month)</t>
  </si>
  <si>
    <t>Working Losses (lb/month)</t>
  </si>
  <si>
    <t>Routine Losses (lb/month)</t>
  </si>
  <si>
    <t>Standing Losses (lb/year)</t>
  </si>
  <si>
    <t>Working Losses (lb/year)</t>
  </si>
  <si>
    <t>Equation</t>
  </si>
  <si>
    <t>AP-42 Met. Data</t>
  </si>
  <si>
    <t>AP-42</t>
  </si>
  <si>
    <t>crude oils: 0.75
all other organic liquids: 1.0</t>
  </si>
  <si>
    <t>Average Vapor Temperature</t>
  </si>
  <si>
    <t>Tank Average Solar Absorptance:</t>
  </si>
  <si>
    <t>Citation</t>
  </si>
  <si>
    <t>(1-11)</t>
  </si>
  <si>
    <t>(1-17), (1-18), (1-19)</t>
  </si>
  <si>
    <t>(1-21)</t>
  </si>
  <si>
    <t>(1-25)</t>
  </si>
  <si>
    <t>(1-28)</t>
  </si>
  <si>
    <t>(1-30)</t>
  </si>
  <si>
    <t>(1-31)</t>
  </si>
  <si>
    <t>(1-33)</t>
  </si>
  <si>
    <t>(1-40), (1-41)</t>
  </si>
  <si>
    <t>(1-3)</t>
  </si>
  <si>
    <t>(1-5)</t>
  </si>
  <si>
    <t>(1-35)</t>
  </si>
  <si>
    <t>(1-37)</t>
  </si>
  <si>
    <t>(1-22)</t>
  </si>
  <si>
    <t>(1-9)</t>
  </si>
  <si>
    <t>(1-10)</t>
  </si>
  <si>
    <t>(1-7)</t>
  </si>
  <si>
    <t>7.1.3.1, Note 5</t>
  </si>
  <si>
    <t>Figure 7.1-17</t>
  </si>
  <si>
    <t>Table 7.1-7</t>
  </si>
  <si>
    <t>(1-2)</t>
  </si>
  <si>
    <t>(1-1)</t>
  </si>
  <si>
    <t>Sum from all months</t>
  </si>
  <si>
    <t>max gal/yr</t>
  </si>
  <si>
    <t>AP-42 Default @ 0.03 psig</t>
  </si>
  <si>
    <t>AP-42 Default @ -0.03 psig</t>
  </si>
  <si>
    <t>End of worksheet</t>
  </si>
  <si>
    <t>no.</t>
  </si>
  <si>
    <t>Annual Routine Emission Calculations</t>
  </si>
  <si>
    <t>Emission Calculation Equation Glossary</t>
  </si>
  <si>
    <t>Final Emissions</t>
  </si>
  <si>
    <r>
      <t>T</t>
    </r>
    <r>
      <rPr>
        <vertAlign val="subscript"/>
        <sz val="11"/>
        <color theme="1"/>
        <rFont val="Arial"/>
        <family val="2"/>
      </rPr>
      <t>AX</t>
    </r>
  </si>
  <si>
    <r>
      <t>T</t>
    </r>
    <r>
      <rPr>
        <vertAlign val="subscript"/>
        <sz val="11"/>
        <color theme="1"/>
        <rFont val="Arial"/>
        <family val="2"/>
      </rPr>
      <t>AN</t>
    </r>
  </si>
  <si>
    <r>
      <t>ΔT</t>
    </r>
    <r>
      <rPr>
        <vertAlign val="subscript"/>
        <sz val="11"/>
        <color theme="1"/>
        <rFont val="Arial"/>
        <family val="2"/>
      </rPr>
      <t>A</t>
    </r>
  </si>
  <si>
    <r>
      <t>T</t>
    </r>
    <r>
      <rPr>
        <vertAlign val="subscript"/>
        <sz val="11"/>
        <color theme="1"/>
        <rFont val="Arial"/>
        <family val="2"/>
      </rPr>
      <t>AA</t>
    </r>
  </si>
  <si>
    <r>
      <t>T</t>
    </r>
    <r>
      <rPr>
        <vertAlign val="subscript"/>
        <sz val="11"/>
        <color theme="1"/>
        <rFont val="Arial"/>
        <family val="2"/>
      </rPr>
      <t>B</t>
    </r>
  </si>
  <si>
    <r>
      <t>T</t>
    </r>
    <r>
      <rPr>
        <vertAlign val="subscript"/>
        <sz val="11"/>
        <color theme="1"/>
        <rFont val="Arial"/>
        <family val="2"/>
      </rPr>
      <t>LA</t>
    </r>
  </si>
  <si>
    <r>
      <t>T</t>
    </r>
    <r>
      <rPr>
        <vertAlign val="subscript"/>
        <sz val="11"/>
        <color theme="1"/>
        <rFont val="Arial"/>
        <family val="2"/>
      </rPr>
      <t>LX</t>
    </r>
  </si>
  <si>
    <r>
      <t>T</t>
    </r>
    <r>
      <rPr>
        <vertAlign val="subscript"/>
        <sz val="11"/>
        <color theme="1"/>
        <rFont val="Arial"/>
        <family val="2"/>
      </rPr>
      <t>LN</t>
    </r>
  </si>
  <si>
    <r>
      <t>T</t>
    </r>
    <r>
      <rPr>
        <vertAlign val="subscript"/>
        <sz val="11"/>
        <color theme="1"/>
        <rFont val="Arial"/>
        <family val="2"/>
      </rPr>
      <t>V</t>
    </r>
  </si>
  <si>
    <r>
      <t>P</t>
    </r>
    <r>
      <rPr>
        <vertAlign val="subscript"/>
        <sz val="11"/>
        <color theme="1"/>
        <rFont val="Arial"/>
        <family val="2"/>
      </rPr>
      <t>A</t>
    </r>
  </si>
  <si>
    <r>
      <t>M</t>
    </r>
    <r>
      <rPr>
        <vertAlign val="subscript"/>
        <sz val="11"/>
        <color theme="1"/>
        <rFont val="Arial"/>
        <family val="2"/>
      </rPr>
      <t>V</t>
    </r>
  </si>
  <si>
    <r>
      <t>P</t>
    </r>
    <r>
      <rPr>
        <vertAlign val="subscript"/>
        <sz val="11"/>
        <color theme="1"/>
        <rFont val="Arial"/>
        <family val="2"/>
      </rPr>
      <t>V</t>
    </r>
  </si>
  <si>
    <r>
      <t>P</t>
    </r>
    <r>
      <rPr>
        <vertAlign val="subscript"/>
        <sz val="11"/>
        <color theme="1"/>
        <rFont val="Arial"/>
        <family val="2"/>
      </rPr>
      <t>VX</t>
    </r>
  </si>
  <si>
    <r>
      <t>P</t>
    </r>
    <r>
      <rPr>
        <vertAlign val="subscript"/>
        <sz val="11"/>
        <color theme="1"/>
        <rFont val="Arial"/>
        <family val="2"/>
      </rPr>
      <t>VN</t>
    </r>
  </si>
  <si>
    <r>
      <t>P</t>
    </r>
    <r>
      <rPr>
        <vertAlign val="subscript"/>
        <sz val="11"/>
        <color theme="1"/>
        <rFont val="Arial"/>
        <family val="2"/>
      </rPr>
      <t>BP</t>
    </r>
  </si>
  <si>
    <r>
      <t>P</t>
    </r>
    <r>
      <rPr>
        <vertAlign val="subscript"/>
        <sz val="11"/>
        <color theme="1"/>
        <rFont val="Arial"/>
        <family val="2"/>
      </rPr>
      <t>BV</t>
    </r>
  </si>
  <si>
    <r>
      <t>K</t>
    </r>
    <r>
      <rPr>
        <vertAlign val="subscript"/>
        <sz val="11"/>
        <color theme="1"/>
        <rFont val="Arial"/>
        <family val="2"/>
      </rPr>
      <t>B</t>
    </r>
  </si>
  <si>
    <r>
      <t>ΔP</t>
    </r>
    <r>
      <rPr>
        <vertAlign val="subscript"/>
        <sz val="11"/>
        <color theme="1"/>
        <rFont val="Arial"/>
        <family val="2"/>
      </rPr>
      <t>V</t>
    </r>
  </si>
  <si>
    <r>
      <t>H</t>
    </r>
    <r>
      <rPr>
        <vertAlign val="subscript"/>
        <sz val="11"/>
        <color theme="1"/>
        <rFont val="Arial"/>
        <family val="2"/>
      </rPr>
      <t>RO</t>
    </r>
  </si>
  <si>
    <r>
      <t>H</t>
    </r>
    <r>
      <rPr>
        <vertAlign val="subscript"/>
        <sz val="11"/>
        <color theme="1"/>
        <rFont val="Arial"/>
        <family val="2"/>
      </rPr>
      <t>VO</t>
    </r>
  </si>
  <si>
    <r>
      <t>K</t>
    </r>
    <r>
      <rPr>
        <vertAlign val="subscript"/>
        <sz val="11"/>
        <color theme="1"/>
        <rFont val="Arial"/>
        <family val="2"/>
      </rPr>
      <t>E</t>
    </r>
  </si>
  <si>
    <r>
      <t>K</t>
    </r>
    <r>
      <rPr>
        <vertAlign val="subscript"/>
        <sz val="11"/>
        <color theme="1"/>
        <rFont val="Arial"/>
        <family val="2"/>
      </rPr>
      <t>S</t>
    </r>
  </si>
  <si>
    <r>
      <t>K</t>
    </r>
    <r>
      <rPr>
        <vertAlign val="subscript"/>
        <sz val="11"/>
        <color theme="1"/>
        <rFont val="Arial"/>
        <family val="2"/>
      </rPr>
      <t>N</t>
    </r>
  </si>
  <si>
    <r>
      <t>K</t>
    </r>
    <r>
      <rPr>
        <vertAlign val="subscript"/>
        <sz val="11"/>
        <color theme="1"/>
        <rFont val="Arial"/>
        <family val="2"/>
      </rPr>
      <t>P</t>
    </r>
  </si>
  <si>
    <r>
      <t>V</t>
    </r>
    <r>
      <rPr>
        <vertAlign val="subscript"/>
        <sz val="11"/>
        <color theme="1"/>
        <rFont val="Arial"/>
        <family val="2"/>
      </rPr>
      <t>V</t>
    </r>
  </si>
  <si>
    <r>
      <t>W</t>
    </r>
    <r>
      <rPr>
        <vertAlign val="subscript"/>
        <sz val="11"/>
        <color theme="1"/>
        <rFont val="Arial"/>
        <family val="2"/>
      </rPr>
      <t>V</t>
    </r>
  </si>
  <si>
    <r>
      <t>L</t>
    </r>
    <r>
      <rPr>
        <vertAlign val="subscript"/>
        <sz val="11"/>
        <color theme="1"/>
        <rFont val="Arial"/>
        <family val="2"/>
      </rPr>
      <t>SM</t>
    </r>
  </si>
  <si>
    <r>
      <t>L</t>
    </r>
    <r>
      <rPr>
        <vertAlign val="subscript"/>
        <sz val="11"/>
        <color theme="1"/>
        <rFont val="Arial"/>
        <family val="2"/>
      </rPr>
      <t>WM</t>
    </r>
  </si>
  <si>
    <r>
      <t>L</t>
    </r>
    <r>
      <rPr>
        <vertAlign val="subscript"/>
        <sz val="11"/>
        <color theme="1"/>
        <rFont val="Arial"/>
        <family val="2"/>
      </rPr>
      <t>TM</t>
    </r>
  </si>
  <si>
    <r>
      <t>L</t>
    </r>
    <r>
      <rPr>
        <vertAlign val="subscript"/>
        <sz val="11"/>
        <color theme="1"/>
        <rFont val="Arial"/>
        <family val="2"/>
      </rPr>
      <t>S</t>
    </r>
  </si>
  <si>
    <r>
      <t>L</t>
    </r>
    <r>
      <rPr>
        <vertAlign val="subscript"/>
        <sz val="11"/>
        <color theme="1"/>
        <rFont val="Arial"/>
        <family val="2"/>
      </rPr>
      <t>W</t>
    </r>
  </si>
  <si>
    <r>
      <t>L</t>
    </r>
    <r>
      <rPr>
        <vertAlign val="subscript"/>
        <sz val="11"/>
        <color theme="1"/>
        <rFont val="Arial"/>
        <family val="2"/>
      </rPr>
      <t>T</t>
    </r>
  </si>
  <si>
    <r>
      <t>L</t>
    </r>
    <r>
      <rPr>
        <vertAlign val="subscript"/>
        <sz val="11"/>
        <color theme="1"/>
        <rFont val="Arial"/>
        <family val="2"/>
      </rPr>
      <t>MAX</t>
    </r>
  </si>
  <si>
    <r>
      <t>T</t>
    </r>
    <r>
      <rPr>
        <vertAlign val="subscript"/>
        <sz val="11"/>
        <color theme="1"/>
        <rFont val="Arial"/>
        <family val="2"/>
      </rPr>
      <t>AX</t>
    </r>
    <r>
      <rPr>
        <sz val="11"/>
        <color theme="1"/>
        <rFont val="Arial"/>
        <family val="2"/>
      </rPr>
      <t>-T</t>
    </r>
    <r>
      <rPr>
        <vertAlign val="subscript"/>
        <sz val="11"/>
        <color theme="1"/>
        <rFont val="Arial"/>
        <family val="2"/>
      </rPr>
      <t>AN</t>
    </r>
  </si>
  <si>
    <r>
      <t>(T</t>
    </r>
    <r>
      <rPr>
        <vertAlign val="subscript"/>
        <sz val="11"/>
        <color theme="1"/>
        <rFont val="Arial"/>
        <family val="2"/>
      </rPr>
      <t>AX</t>
    </r>
    <r>
      <rPr>
        <sz val="11"/>
        <color theme="1"/>
        <rFont val="Arial"/>
        <family val="2"/>
      </rPr>
      <t>+T</t>
    </r>
    <r>
      <rPr>
        <vertAlign val="subscript"/>
        <sz val="11"/>
        <color theme="1"/>
        <rFont val="Arial"/>
        <family val="2"/>
      </rPr>
      <t>AN</t>
    </r>
    <r>
      <rPr>
        <sz val="11"/>
        <color theme="1"/>
        <rFont val="Arial"/>
        <family val="2"/>
      </rPr>
      <t>)/2</t>
    </r>
  </si>
  <si>
    <r>
      <t>T</t>
    </r>
    <r>
      <rPr>
        <vertAlign val="subscript"/>
        <sz val="11"/>
        <color theme="1"/>
        <rFont val="Arial"/>
        <family val="2"/>
      </rPr>
      <t>LA</t>
    </r>
    <r>
      <rPr>
        <sz val="11"/>
        <color theme="1"/>
        <rFont val="Arial"/>
        <family val="2"/>
      </rPr>
      <t xml:space="preserve"> + 0.25ΔT</t>
    </r>
    <r>
      <rPr>
        <vertAlign val="subscript"/>
        <sz val="11"/>
        <color theme="1"/>
        <rFont val="Arial"/>
        <family val="2"/>
      </rPr>
      <t>V</t>
    </r>
  </si>
  <si>
    <r>
      <t>T</t>
    </r>
    <r>
      <rPr>
        <vertAlign val="subscript"/>
        <sz val="11"/>
        <color theme="1"/>
        <rFont val="Arial"/>
        <family val="2"/>
      </rPr>
      <t>LA</t>
    </r>
    <r>
      <rPr>
        <sz val="11"/>
        <color theme="1"/>
        <rFont val="Arial"/>
        <family val="2"/>
      </rPr>
      <t xml:space="preserve"> - 0.25ΔT</t>
    </r>
    <r>
      <rPr>
        <vertAlign val="subscript"/>
        <sz val="11"/>
        <color theme="1"/>
        <rFont val="Arial"/>
        <family val="2"/>
      </rPr>
      <t>V</t>
    </r>
  </si>
  <si>
    <r>
      <t>exp[ A - (B / T</t>
    </r>
    <r>
      <rPr>
        <vertAlign val="subscript"/>
        <sz val="11"/>
        <color theme="1"/>
        <rFont val="Arial"/>
        <family val="2"/>
      </rPr>
      <t>LA</t>
    </r>
    <r>
      <rPr>
        <sz val="11"/>
        <color theme="1"/>
        <rFont val="Arial"/>
        <family val="2"/>
      </rPr>
      <t>)]</t>
    </r>
  </si>
  <si>
    <r>
      <t>exp[ A - (B / T</t>
    </r>
    <r>
      <rPr>
        <vertAlign val="subscript"/>
        <sz val="11"/>
        <color theme="1"/>
        <rFont val="Arial"/>
        <family val="2"/>
      </rPr>
      <t>LX</t>
    </r>
    <r>
      <rPr>
        <sz val="11"/>
        <color theme="1"/>
        <rFont val="Arial"/>
        <family val="2"/>
      </rPr>
      <t>)]</t>
    </r>
  </si>
  <si>
    <r>
      <t>exp[ A - (B / T</t>
    </r>
    <r>
      <rPr>
        <vertAlign val="subscript"/>
        <sz val="11"/>
        <color theme="1"/>
        <rFont val="Arial"/>
        <family val="2"/>
      </rPr>
      <t>LN</t>
    </r>
    <r>
      <rPr>
        <sz val="11"/>
        <color theme="1"/>
        <rFont val="Arial"/>
        <family val="2"/>
      </rPr>
      <t>)]</t>
    </r>
  </si>
  <si>
    <r>
      <t>P</t>
    </r>
    <r>
      <rPr>
        <vertAlign val="subscript"/>
        <sz val="11"/>
        <color theme="1"/>
        <rFont val="Arial"/>
        <family val="2"/>
      </rPr>
      <t>BP</t>
    </r>
    <r>
      <rPr>
        <sz val="11"/>
        <color theme="1"/>
        <rFont val="Arial"/>
        <family val="2"/>
      </rPr>
      <t xml:space="preserve"> - P</t>
    </r>
    <r>
      <rPr>
        <vertAlign val="subscript"/>
        <sz val="11"/>
        <color theme="1"/>
        <rFont val="Arial"/>
        <family val="2"/>
      </rPr>
      <t>BV</t>
    </r>
  </si>
  <si>
    <r>
      <t>P</t>
    </r>
    <r>
      <rPr>
        <vertAlign val="subscript"/>
        <sz val="11"/>
        <color theme="1"/>
        <rFont val="Arial"/>
        <family val="2"/>
      </rPr>
      <t>VX</t>
    </r>
    <r>
      <rPr>
        <sz val="11"/>
        <color theme="1"/>
        <rFont val="Arial"/>
        <family val="2"/>
      </rPr>
      <t xml:space="preserve"> - P</t>
    </r>
    <r>
      <rPr>
        <vertAlign val="subscript"/>
        <sz val="11"/>
        <color theme="1"/>
        <rFont val="Arial"/>
        <family val="2"/>
      </rPr>
      <t>VN</t>
    </r>
  </si>
  <si>
    <r>
      <t>1 / (1 + 0.053P</t>
    </r>
    <r>
      <rPr>
        <vertAlign val="subscript"/>
        <sz val="11"/>
        <color theme="1"/>
        <rFont val="Arial"/>
        <family val="2"/>
      </rPr>
      <t>VA</t>
    </r>
    <r>
      <rPr>
        <sz val="11"/>
        <color theme="1"/>
        <rFont val="Arial"/>
        <family val="2"/>
      </rPr>
      <t>H</t>
    </r>
    <r>
      <rPr>
        <vertAlign val="subscript"/>
        <sz val="11"/>
        <color theme="1"/>
        <rFont val="Arial"/>
        <family val="2"/>
      </rPr>
      <t>VO</t>
    </r>
    <r>
      <rPr>
        <sz val="11"/>
        <color theme="1"/>
        <rFont val="Arial"/>
        <family val="2"/>
      </rPr>
      <t>)</t>
    </r>
  </si>
  <si>
    <r>
      <t>(M</t>
    </r>
    <r>
      <rPr>
        <vertAlign val="subscript"/>
        <sz val="11"/>
        <color theme="1"/>
        <rFont val="Arial"/>
        <family val="2"/>
      </rPr>
      <t>V</t>
    </r>
    <r>
      <rPr>
        <sz val="11"/>
        <color theme="1"/>
        <rFont val="Arial"/>
        <family val="2"/>
      </rPr>
      <t>P</t>
    </r>
    <r>
      <rPr>
        <vertAlign val="subscript"/>
        <sz val="11"/>
        <color theme="1"/>
        <rFont val="Arial"/>
        <family val="2"/>
      </rPr>
      <t>VA</t>
    </r>
    <r>
      <rPr>
        <sz val="11"/>
        <color theme="1"/>
        <rFont val="Arial"/>
        <family val="2"/>
      </rPr>
      <t xml:space="preserve"> / RT</t>
    </r>
    <r>
      <rPr>
        <vertAlign val="subscript"/>
        <sz val="11"/>
        <color theme="1"/>
        <rFont val="Arial"/>
        <family val="2"/>
      </rPr>
      <t>V</t>
    </r>
    <r>
      <rPr>
        <sz val="11"/>
        <color theme="1"/>
        <rFont val="Arial"/>
        <family val="2"/>
      </rPr>
      <t>)
R = ideal gas constant (10.731)</t>
    </r>
  </si>
  <si>
    <r>
      <t>L</t>
    </r>
    <r>
      <rPr>
        <vertAlign val="subscript"/>
        <sz val="11"/>
        <color theme="1"/>
        <rFont val="Arial"/>
        <family val="2"/>
      </rPr>
      <t>WM</t>
    </r>
    <r>
      <rPr>
        <sz val="11"/>
        <color theme="1"/>
        <rFont val="Arial"/>
        <family val="2"/>
      </rPr>
      <t xml:space="preserve"> + L</t>
    </r>
    <r>
      <rPr>
        <vertAlign val="subscript"/>
        <sz val="11"/>
        <color theme="1"/>
        <rFont val="Arial"/>
        <family val="2"/>
      </rPr>
      <t>SM</t>
    </r>
  </si>
  <si>
    <r>
      <t>L</t>
    </r>
    <r>
      <rPr>
        <vertAlign val="subscript"/>
        <sz val="11"/>
        <color theme="1"/>
        <rFont val="Arial"/>
        <family val="2"/>
      </rPr>
      <t>W</t>
    </r>
    <r>
      <rPr>
        <sz val="11"/>
        <color theme="1"/>
        <rFont val="Arial"/>
        <family val="2"/>
      </rPr>
      <t xml:space="preserve"> + L</t>
    </r>
    <r>
      <rPr>
        <vertAlign val="subscript"/>
        <sz val="11"/>
        <color theme="1"/>
        <rFont val="Arial"/>
        <family val="2"/>
      </rPr>
      <t>S</t>
    </r>
  </si>
  <si>
    <r>
      <t>L</t>
    </r>
    <r>
      <rPr>
        <vertAlign val="subscript"/>
        <sz val="11"/>
        <color theme="1"/>
        <rFont val="Arial"/>
        <family val="2"/>
      </rPr>
      <t>T</t>
    </r>
    <r>
      <rPr>
        <sz val="11"/>
        <color theme="1"/>
        <rFont val="Arial"/>
        <family val="2"/>
      </rPr>
      <t xml:space="preserve"> / 2000</t>
    </r>
  </si>
  <si>
    <r>
      <t>[(M</t>
    </r>
    <r>
      <rPr>
        <vertAlign val="subscript"/>
        <sz val="11"/>
        <color theme="1"/>
        <rFont val="Arial"/>
        <family val="2"/>
      </rPr>
      <t>V</t>
    </r>
    <r>
      <rPr>
        <sz val="11"/>
        <color theme="1"/>
        <rFont val="Arial"/>
        <family val="2"/>
      </rPr>
      <t>P</t>
    </r>
    <r>
      <rPr>
        <vertAlign val="subscript"/>
        <sz val="11"/>
        <color theme="1"/>
        <rFont val="Arial"/>
        <family val="2"/>
      </rPr>
      <t>VA</t>
    </r>
    <r>
      <rPr>
        <sz val="11"/>
        <color theme="1"/>
        <rFont val="Arial"/>
        <family val="2"/>
      </rPr>
      <t>) / (RT</t>
    </r>
    <r>
      <rPr>
        <vertAlign val="subscript"/>
        <sz val="11"/>
        <color theme="1"/>
        <rFont val="Arial"/>
        <family val="2"/>
      </rPr>
      <t>AX</t>
    </r>
    <r>
      <rPr>
        <sz val="11"/>
        <color theme="1"/>
        <rFont val="Arial"/>
        <family val="2"/>
      </rPr>
      <t>)] * FR</t>
    </r>
    <r>
      <rPr>
        <vertAlign val="subscript"/>
        <sz val="11"/>
        <color theme="1"/>
        <rFont val="Arial"/>
        <family val="2"/>
      </rPr>
      <t>M</t>
    </r>
    <r>
      <rPr>
        <sz val="11"/>
        <color theme="1"/>
        <rFont val="Arial"/>
        <family val="2"/>
      </rPr>
      <t xml:space="preserve">
FR</t>
    </r>
    <r>
      <rPr>
        <vertAlign val="subscript"/>
        <sz val="11"/>
        <color theme="1"/>
        <rFont val="Arial"/>
        <family val="2"/>
      </rPr>
      <t>M</t>
    </r>
    <r>
      <rPr>
        <sz val="11"/>
        <color theme="1"/>
        <rFont val="Arial"/>
        <family val="2"/>
      </rPr>
      <t xml:space="preserve"> = Maximum filling rate, R = ideal gas constant (80.273)</t>
    </r>
  </si>
  <si>
    <t>Maximum value from calculated above</t>
  </si>
  <si>
    <t>Calculated Emission Totals</t>
  </si>
  <si>
    <t>Tank Information</t>
  </si>
  <si>
    <t>Table of Contents:</t>
  </si>
  <si>
    <t>Cover</t>
  </si>
  <si>
    <t>Equation Glossary</t>
  </si>
  <si>
    <t>Cover Page</t>
  </si>
  <si>
    <t>Tank Information Input and Final Emissions</t>
  </si>
  <si>
    <t>Emission Calculations based on Tank Information Inputs</t>
  </si>
  <si>
    <t>Glossary of Equations used in Emission Calculations</t>
  </si>
  <si>
    <t>Click here to go to the Tank Information sheet.</t>
  </si>
  <si>
    <t>End of worksheet.</t>
  </si>
  <si>
    <t>Click here to go to the Tank Glossary sheet.</t>
  </si>
  <si>
    <t>Click here to go to the Calculated Emission Totals sheet.</t>
  </si>
  <si>
    <t>Click here to go back to the Cover sheet.</t>
  </si>
  <si>
    <r>
      <t>Sheet Title</t>
    </r>
    <r>
      <rPr>
        <i/>
        <sz val="11"/>
        <color theme="1"/>
        <rFont val="Arial"/>
        <family val="2"/>
      </rPr>
      <t xml:space="preserve"> (Click to jump to specific sheet)</t>
    </r>
    <r>
      <rPr>
        <sz val="11"/>
        <color theme="1"/>
        <rFont val="Arial"/>
        <family val="2"/>
      </rPr>
      <t>:</t>
    </r>
  </si>
  <si>
    <t>For rule language of §116.620, please visit the Texas Secretary of State (SOS) website:</t>
  </si>
  <si>
    <t>https://texreg.sos.state.tx.us/public/readtac$ext.ViewTAC?tac_view=5&amp;ti=30&amp;pt=1&amp;ch=116&amp;sch=F&amp;rl=Y</t>
  </si>
  <si>
    <t>https://texreg.sos.state.tx.us/public/readtac$ext.ViewTAC?tac_view=5&amp;ti=30&amp;pt=1&amp;ch=106&amp;sch=O&amp;rl=Y</t>
  </si>
  <si>
    <t>end of worksheet.</t>
  </si>
  <si>
    <t>https://www3.tceq.texas.gov/steers/</t>
  </si>
  <si>
    <t>THSC §382.041 requires us not to disclose any information related to manufacturing processes that is marked Confidential. Mark any information related to secret or proprietary processes or methods of manufacture Confidential if you do not want this information in the public file. All confidential information should be separated from the application and submitted as a separate file. Additional information regarding confidential information can be found at:</t>
  </si>
  <si>
    <t>https://www.tceq.texas.gov/permitting/air/confidential.html</t>
  </si>
  <si>
    <t>For rule languge of the Oil and Gas Non-Rule Standard Permit, please visit the website below:</t>
  </si>
  <si>
    <t>Name:</t>
  </si>
  <si>
    <t>VOC Weight Percentage:</t>
  </si>
  <si>
    <t>What method of analyzing flashing was used?</t>
  </si>
  <si>
    <t>Roof Color/Shade:</t>
  </si>
  <si>
    <t>Roof Condition:</t>
  </si>
  <si>
    <t>Type:</t>
  </si>
  <si>
    <t>Shell Condition:</t>
  </si>
  <si>
    <t>Shell Color/Shade:</t>
  </si>
  <si>
    <t>Nearest City, State:</t>
  </si>
  <si>
    <t>Jet Kerosene (Jet A)</t>
  </si>
  <si>
    <t>Jet Naphtha (JP-4)</t>
  </si>
  <si>
    <t>Crude Oil RVP 5</t>
  </si>
  <si>
    <t>https://www.tceq.texas.gov/assets/public/permitting/air/Announcements/oilgas-sp.pdf</t>
  </si>
  <si>
    <r>
      <t>P</t>
    </r>
    <r>
      <rPr>
        <vertAlign val="subscript"/>
        <sz val="11"/>
        <color theme="1"/>
        <rFont val="Arial"/>
        <family val="2"/>
      </rPr>
      <t>VA</t>
    </r>
  </si>
  <si>
    <t>Hourly Routine VOC Losses:</t>
  </si>
  <si>
    <t>Annual Routine VOC Losses:</t>
  </si>
  <si>
    <r>
      <t>Hourly Routine H</t>
    </r>
    <r>
      <rPr>
        <vertAlign val="subscript"/>
        <sz val="11"/>
        <color theme="1"/>
        <rFont val="Arial"/>
        <family val="2"/>
      </rPr>
      <t>2</t>
    </r>
    <r>
      <rPr>
        <sz val="11"/>
        <color theme="1"/>
        <rFont val="Arial"/>
        <family val="2"/>
      </rPr>
      <t>S Losses:</t>
    </r>
  </si>
  <si>
    <r>
      <t>Annual Routine H</t>
    </r>
    <r>
      <rPr>
        <vertAlign val="subscript"/>
        <sz val="11"/>
        <color theme="1"/>
        <rFont val="Arial"/>
        <family val="2"/>
      </rPr>
      <t>2</t>
    </r>
    <r>
      <rPr>
        <sz val="11"/>
        <color theme="1"/>
        <rFont val="Arial"/>
        <family val="2"/>
      </rPr>
      <t>S Losses:</t>
    </r>
  </si>
  <si>
    <r>
      <t>H</t>
    </r>
    <r>
      <rPr>
        <vertAlign val="subscript"/>
        <sz val="11"/>
        <color theme="1"/>
        <rFont val="Arial"/>
        <family val="2"/>
      </rPr>
      <t>2</t>
    </r>
    <r>
      <rPr>
        <sz val="11"/>
        <color theme="1"/>
        <rFont val="Arial"/>
        <family val="2"/>
      </rPr>
      <t xml:space="preserve">S Weight Percentage: </t>
    </r>
  </si>
  <si>
    <t>Hourly Flashing VOC Losses:</t>
  </si>
  <si>
    <t>Annual Flashing VOC Losses:</t>
  </si>
  <si>
    <r>
      <t>Hourly Flashing H</t>
    </r>
    <r>
      <rPr>
        <vertAlign val="subscript"/>
        <sz val="11"/>
        <color theme="1"/>
        <rFont val="Arial"/>
        <family val="2"/>
      </rPr>
      <t>2</t>
    </r>
    <r>
      <rPr>
        <sz val="11"/>
        <color theme="1"/>
        <rFont val="Arial"/>
        <family val="2"/>
      </rPr>
      <t>S Losses:</t>
    </r>
  </si>
  <si>
    <r>
      <t>Annual Flashing H</t>
    </r>
    <r>
      <rPr>
        <vertAlign val="subscript"/>
        <sz val="11"/>
        <color theme="1"/>
        <rFont val="Arial"/>
        <family val="2"/>
      </rPr>
      <t>2</t>
    </r>
    <r>
      <rPr>
        <sz val="11"/>
        <color theme="1"/>
        <rFont val="Arial"/>
        <family val="2"/>
      </rPr>
      <t>S Losses:</t>
    </r>
  </si>
  <si>
    <t>Total Annual VOC Losses:</t>
  </si>
  <si>
    <r>
      <t>Total Annual H</t>
    </r>
    <r>
      <rPr>
        <b/>
        <vertAlign val="subscript"/>
        <sz val="11"/>
        <color theme="1"/>
        <rFont val="Arial"/>
        <family val="2"/>
      </rPr>
      <t>2</t>
    </r>
    <r>
      <rPr>
        <b/>
        <sz val="11"/>
        <color theme="1"/>
        <rFont val="Arial"/>
        <family val="2"/>
      </rPr>
      <t>S Losses:</t>
    </r>
  </si>
  <si>
    <t>Total Hourly Routine Losses:</t>
  </si>
  <si>
    <t>Total Hourly Flashing Losses</t>
  </si>
  <si>
    <t>Total Annual Routine Losses:</t>
  </si>
  <si>
    <t>Total Annual Flashing Losses</t>
  </si>
  <si>
    <t>Flash Gas VOC Weight Percentage:</t>
  </si>
  <si>
    <r>
      <t>Flash Gas H</t>
    </r>
    <r>
      <rPr>
        <vertAlign val="subscript"/>
        <sz val="11"/>
        <color theme="1"/>
        <rFont val="Arial"/>
        <family val="2"/>
      </rPr>
      <t>2</t>
    </r>
    <r>
      <rPr>
        <sz val="11"/>
        <color theme="1"/>
        <rFont val="Arial"/>
        <family val="2"/>
      </rPr>
      <t>S Weight Percentage:</t>
    </r>
  </si>
  <si>
    <t>For rule language of §106.352, please visit the Texas Secretary of State (SOS) website:</t>
  </si>
  <si>
    <t>This was intentionally left blank.</t>
  </si>
  <si>
    <t>°R</t>
  </si>
  <si>
    <r>
      <t>ΔT</t>
    </r>
    <r>
      <rPr>
        <vertAlign val="subscript"/>
        <sz val="11"/>
        <color theme="1"/>
        <rFont val="Arial"/>
        <family val="2"/>
      </rPr>
      <t>V</t>
    </r>
  </si>
  <si>
    <r>
      <t>IF breather vent settings are ±0.03psig, K</t>
    </r>
    <r>
      <rPr>
        <vertAlign val="subscript"/>
        <sz val="11"/>
        <color theme="1"/>
        <rFont val="Arial"/>
        <family val="2"/>
      </rPr>
      <t>B</t>
    </r>
    <r>
      <rPr>
        <sz val="11"/>
        <color theme="1"/>
        <rFont val="Arial"/>
        <family val="2"/>
      </rPr>
      <t xml:space="preserve"> = 1.0;
IF settings are not ±0.03psig, and 
K</t>
    </r>
    <r>
      <rPr>
        <vertAlign val="subscript"/>
        <sz val="11"/>
        <color theme="1"/>
        <rFont val="Arial"/>
        <family val="2"/>
      </rPr>
      <t>N</t>
    </r>
    <r>
      <rPr>
        <sz val="11"/>
        <color theme="1"/>
        <rFont val="Arial"/>
        <family val="2"/>
      </rPr>
      <t>[(P</t>
    </r>
    <r>
      <rPr>
        <vertAlign val="subscript"/>
        <sz val="11"/>
        <color theme="1"/>
        <rFont val="Arial"/>
        <family val="2"/>
      </rPr>
      <t>BP</t>
    </r>
    <r>
      <rPr>
        <sz val="11"/>
        <color theme="1"/>
        <rFont val="Arial"/>
        <family val="2"/>
      </rPr>
      <t xml:space="preserve"> + P</t>
    </r>
    <r>
      <rPr>
        <vertAlign val="subscript"/>
        <sz val="11"/>
        <color theme="1"/>
        <rFont val="Arial"/>
        <family val="2"/>
      </rPr>
      <t>A</t>
    </r>
    <r>
      <rPr>
        <sz val="11"/>
        <color theme="1"/>
        <rFont val="Arial"/>
        <family val="2"/>
      </rPr>
      <t>)/(P</t>
    </r>
    <r>
      <rPr>
        <vertAlign val="subscript"/>
        <sz val="11"/>
        <color theme="1"/>
        <rFont val="Arial"/>
        <family val="2"/>
      </rPr>
      <t>I</t>
    </r>
    <r>
      <rPr>
        <sz val="11"/>
        <color theme="1"/>
        <rFont val="Arial"/>
        <family val="2"/>
      </rPr>
      <t xml:space="preserve"> + P</t>
    </r>
    <r>
      <rPr>
        <vertAlign val="subscript"/>
        <sz val="11"/>
        <color theme="1"/>
        <rFont val="Arial"/>
        <family val="2"/>
      </rPr>
      <t>A</t>
    </r>
    <r>
      <rPr>
        <sz val="11"/>
        <color theme="1"/>
        <rFont val="Arial"/>
        <family val="2"/>
      </rPr>
      <t>)] &lt; 1.0, K</t>
    </r>
    <r>
      <rPr>
        <vertAlign val="subscript"/>
        <sz val="11"/>
        <color theme="1"/>
        <rFont val="Arial"/>
        <family val="2"/>
      </rPr>
      <t>B</t>
    </r>
    <r>
      <rPr>
        <sz val="11"/>
        <color theme="1"/>
        <rFont val="Arial"/>
        <family val="2"/>
      </rPr>
      <t xml:space="preserve"> = 1.0;
IF &gt;1.0, then K</t>
    </r>
    <r>
      <rPr>
        <vertAlign val="subscript"/>
        <sz val="11"/>
        <color theme="1"/>
        <rFont val="Arial"/>
        <family val="2"/>
      </rPr>
      <t>B</t>
    </r>
    <r>
      <rPr>
        <sz val="11"/>
        <color theme="1"/>
        <rFont val="Arial"/>
        <family val="2"/>
      </rPr>
      <t xml:space="preserve"> = [(((P</t>
    </r>
    <r>
      <rPr>
        <vertAlign val="subscript"/>
        <sz val="11"/>
        <color theme="1"/>
        <rFont val="Arial"/>
        <family val="2"/>
      </rPr>
      <t>I</t>
    </r>
    <r>
      <rPr>
        <sz val="11"/>
        <color theme="1"/>
        <rFont val="Arial"/>
        <family val="2"/>
      </rPr>
      <t xml:space="preserve"> + P</t>
    </r>
    <r>
      <rPr>
        <vertAlign val="subscript"/>
        <sz val="11"/>
        <color theme="1"/>
        <rFont val="Arial"/>
        <family val="2"/>
      </rPr>
      <t>A</t>
    </r>
    <r>
      <rPr>
        <sz val="11"/>
        <color theme="1"/>
        <rFont val="Arial"/>
        <family val="2"/>
      </rPr>
      <t>)/K</t>
    </r>
    <r>
      <rPr>
        <vertAlign val="subscript"/>
        <sz val="11"/>
        <color theme="1"/>
        <rFont val="Arial"/>
        <family val="2"/>
      </rPr>
      <t>N</t>
    </r>
    <r>
      <rPr>
        <sz val="11"/>
        <color theme="1"/>
        <rFont val="Arial"/>
        <family val="2"/>
      </rPr>
      <t>) - P</t>
    </r>
    <r>
      <rPr>
        <vertAlign val="subscript"/>
        <sz val="11"/>
        <color theme="1"/>
        <rFont val="Arial"/>
        <family val="2"/>
      </rPr>
      <t>VA</t>
    </r>
    <r>
      <rPr>
        <sz val="11"/>
        <color theme="1"/>
        <rFont val="Arial"/>
        <family val="2"/>
      </rPr>
      <t>)/(P</t>
    </r>
    <r>
      <rPr>
        <vertAlign val="subscript"/>
        <sz val="11"/>
        <color theme="1"/>
        <rFont val="Arial"/>
        <family val="2"/>
      </rPr>
      <t>BP</t>
    </r>
    <r>
      <rPr>
        <sz val="11"/>
        <color theme="1"/>
        <rFont val="Arial"/>
        <family val="2"/>
      </rPr>
      <t xml:space="preserve"> + P</t>
    </r>
    <r>
      <rPr>
        <vertAlign val="subscript"/>
        <sz val="11"/>
        <color theme="1"/>
        <rFont val="Arial"/>
        <family val="2"/>
      </rPr>
      <t>A</t>
    </r>
    <r>
      <rPr>
        <sz val="11"/>
        <color theme="1"/>
        <rFont val="Arial"/>
        <family val="2"/>
      </rPr>
      <t xml:space="preserve"> - P</t>
    </r>
    <r>
      <rPr>
        <vertAlign val="subscript"/>
        <sz val="11"/>
        <color theme="1"/>
        <rFont val="Arial"/>
        <family val="2"/>
      </rPr>
      <t>VA</t>
    </r>
    <r>
      <rPr>
        <sz val="11"/>
        <color theme="1"/>
        <rFont val="Arial"/>
        <family val="2"/>
      </rPr>
      <t>)]
P</t>
    </r>
    <r>
      <rPr>
        <vertAlign val="subscript"/>
        <sz val="11"/>
        <color theme="1"/>
        <rFont val="Arial"/>
        <family val="2"/>
      </rPr>
      <t>I</t>
    </r>
    <r>
      <rPr>
        <sz val="11"/>
        <color theme="1"/>
        <rFont val="Arial"/>
        <family val="2"/>
      </rPr>
      <t xml:space="preserve"> = pressure of vapor space during normal operations in tank, psig</t>
    </r>
  </si>
  <si>
    <r>
      <t>(ΔT</t>
    </r>
    <r>
      <rPr>
        <vertAlign val="subscript"/>
        <sz val="11"/>
        <color theme="1"/>
        <rFont val="Arial"/>
        <family val="2"/>
      </rPr>
      <t>V</t>
    </r>
    <r>
      <rPr>
        <sz val="11"/>
        <color theme="1"/>
        <rFont val="Arial"/>
        <family val="2"/>
      </rPr>
      <t>/T</t>
    </r>
    <r>
      <rPr>
        <vertAlign val="subscript"/>
        <sz val="11"/>
        <color theme="1"/>
        <rFont val="Arial"/>
        <family val="2"/>
      </rPr>
      <t>LA</t>
    </r>
    <r>
      <rPr>
        <sz val="11"/>
        <color theme="1"/>
        <rFont val="Arial"/>
        <family val="2"/>
      </rPr>
      <t>) + [(ΔP</t>
    </r>
    <r>
      <rPr>
        <vertAlign val="subscript"/>
        <sz val="11"/>
        <color theme="1"/>
        <rFont val="Arial"/>
        <family val="2"/>
      </rPr>
      <t>V</t>
    </r>
    <r>
      <rPr>
        <sz val="11"/>
        <color theme="1"/>
        <rFont val="Arial"/>
        <family val="2"/>
      </rPr>
      <t xml:space="preserve"> - ΔP</t>
    </r>
    <r>
      <rPr>
        <vertAlign val="subscript"/>
        <sz val="11"/>
        <color theme="1"/>
        <rFont val="Arial"/>
        <family val="2"/>
      </rPr>
      <t>B</t>
    </r>
    <r>
      <rPr>
        <sz val="11"/>
        <color theme="1"/>
        <rFont val="Arial"/>
        <family val="2"/>
      </rPr>
      <t>) / (P</t>
    </r>
    <r>
      <rPr>
        <vertAlign val="subscript"/>
        <sz val="11"/>
        <color theme="1"/>
        <rFont val="Arial"/>
        <family val="2"/>
      </rPr>
      <t>A</t>
    </r>
    <r>
      <rPr>
        <sz val="11"/>
        <color theme="1"/>
        <rFont val="Arial"/>
        <family val="2"/>
      </rPr>
      <t xml:space="preserve"> - P</t>
    </r>
    <r>
      <rPr>
        <vertAlign val="subscript"/>
        <sz val="11"/>
        <color theme="1"/>
        <rFont val="Arial"/>
        <family val="2"/>
      </rPr>
      <t>VA</t>
    </r>
    <r>
      <rPr>
        <sz val="11"/>
        <color theme="1"/>
        <rFont val="Arial"/>
        <family val="2"/>
      </rPr>
      <t>)]</t>
    </r>
  </si>
  <si>
    <t>If turnovers &gt;36: (180 + N)/6N
If turnovers ≤36: 1
N = number of turnovers</t>
  </si>
  <si>
    <t>Total Annual Emission Rate (tpy)</t>
  </si>
  <si>
    <t>Maximum Emission Rate (lb/hr)</t>
  </si>
  <si>
    <t>Maximum Emission Rates</t>
  </si>
  <si>
    <t>If using the Laboratory Gas-Oil Ratio (GOR) method, enter the volume of gas at given pressure and temperature, if necessary.</t>
  </si>
  <si>
    <t>Maximum Hourly VOC Losses:</t>
  </si>
  <si>
    <r>
      <t>Maximum Hourly H</t>
    </r>
    <r>
      <rPr>
        <b/>
        <vertAlign val="subscript"/>
        <sz val="11"/>
        <color theme="1"/>
        <rFont val="Arial"/>
        <family val="2"/>
      </rPr>
      <t>2</t>
    </r>
    <r>
      <rPr>
        <b/>
        <sz val="11"/>
        <color theme="1"/>
        <rFont val="Arial"/>
        <family val="2"/>
      </rPr>
      <t>S Losses:</t>
    </r>
  </si>
  <si>
    <t>Crude Oil Other RVP</t>
  </si>
  <si>
    <t>psi</t>
  </si>
  <si>
    <t>Reid Vapor Pressure:</t>
  </si>
  <si>
    <t>Vapor Molecular Weight:</t>
  </si>
  <si>
    <t>True Vapor Pressure at 60°F:</t>
  </si>
  <si>
    <t>Antoine's Equation A Constant:</t>
  </si>
  <si>
    <t>Antoine's Equation B Constant:</t>
  </si>
  <si>
    <t>Liquid Density:</t>
  </si>
  <si>
    <r>
      <t>If Cone roof: (1/3) H</t>
    </r>
    <r>
      <rPr>
        <vertAlign val="subscript"/>
        <sz val="11"/>
        <color theme="1"/>
        <rFont val="Arial"/>
        <family val="2"/>
      </rPr>
      <t>R</t>
    </r>
    <r>
      <rPr>
        <sz val="11"/>
        <color theme="1"/>
        <rFont val="Arial"/>
        <family val="2"/>
      </rPr>
      <t xml:space="preserve">
If Dome roof: H</t>
    </r>
    <r>
      <rPr>
        <vertAlign val="subscript"/>
        <sz val="11"/>
        <color theme="1"/>
        <rFont val="Arial"/>
        <family val="2"/>
      </rPr>
      <t>R</t>
    </r>
    <r>
      <rPr>
        <sz val="11"/>
        <color theme="1"/>
        <rFont val="Arial"/>
        <family val="2"/>
      </rPr>
      <t xml:space="preserve"> [0.5+ (1/6)*(H</t>
    </r>
    <r>
      <rPr>
        <vertAlign val="subscript"/>
        <sz val="11"/>
        <color theme="1"/>
        <rFont val="Arial"/>
        <family val="2"/>
      </rPr>
      <t>R</t>
    </r>
    <r>
      <rPr>
        <sz val="11"/>
        <color theme="1"/>
        <rFont val="Arial"/>
        <family val="2"/>
      </rPr>
      <t xml:space="preserve"> / R</t>
    </r>
    <r>
      <rPr>
        <vertAlign val="subscript"/>
        <sz val="11"/>
        <color theme="1"/>
        <rFont val="Arial"/>
        <family val="2"/>
      </rPr>
      <t>S</t>
    </r>
    <r>
      <rPr>
        <sz val="11"/>
        <color theme="1"/>
        <rFont val="Arial"/>
        <family val="2"/>
      </rPr>
      <t>)^2]
H</t>
    </r>
    <r>
      <rPr>
        <vertAlign val="subscript"/>
        <sz val="11"/>
        <color theme="1"/>
        <rFont val="Arial"/>
        <family val="2"/>
      </rPr>
      <t>R</t>
    </r>
    <r>
      <rPr>
        <sz val="11"/>
        <color theme="1"/>
        <rFont val="Arial"/>
        <family val="2"/>
      </rPr>
      <t xml:space="preserve"> = tank roof height, R</t>
    </r>
    <r>
      <rPr>
        <vertAlign val="subscript"/>
        <sz val="11"/>
        <color theme="1"/>
        <rFont val="Arial"/>
        <family val="2"/>
      </rPr>
      <t>S</t>
    </r>
    <r>
      <rPr>
        <sz val="11"/>
        <color theme="1"/>
        <rFont val="Arial"/>
        <family val="2"/>
      </rPr>
      <t xml:space="preserve"> = tank shell radius</t>
    </r>
  </si>
  <si>
    <t>Average Daily Ambient Temperature Range (°R)</t>
  </si>
  <si>
    <t>Average Daily Max. Ambient Temperature (°R)</t>
  </si>
  <si>
    <t>Average Daily Min. Ambient Temperature (°R)</t>
  </si>
  <si>
    <t>EPA AP-42 Chapter 7.1 (June 2020)</t>
  </si>
  <si>
    <t>Calculations are based on equations provided in AP-42 Chapter 7.1 (June 2020) for annual emission rates, and TCEQ APDG 6250v3 (February 2020) for short term emission rates.</t>
  </si>
  <si>
    <t>TCEQ APDG 6250v3 (February 2020)</t>
  </si>
  <si>
    <t>APDG 6250v3</t>
  </si>
  <si>
    <t>Shell Radius:</t>
  </si>
  <si>
    <t>Shell Length:</t>
  </si>
  <si>
    <t>Effective Tank Diameter:</t>
  </si>
  <si>
    <t>Effective Tank Height:</t>
  </si>
  <si>
    <t>(1-14), (1-15), (1-16)</t>
  </si>
  <si>
    <t>Vertical or Horizontal:</t>
  </si>
  <si>
    <t>Shreveport, LA</t>
  </si>
  <si>
    <r>
      <rPr>
        <b/>
        <sz val="11"/>
        <color theme="1"/>
        <rFont val="Arial"/>
        <family val="2"/>
      </rPr>
      <t>Instructions:</t>
    </r>
    <r>
      <rPr>
        <sz val="11"/>
        <color theme="1"/>
        <rFont val="Arial"/>
        <family val="2"/>
      </rPr>
      <t xml:space="preserve"> Please enter information in the Reponse column below. If the cells are colored yellow, the information is required. If the cells are colored blue, the information is optional. If the cell is dark gray, then an input is not needed. The emissions calculated in this workbook are only for non-insulated, vertical or horizontal fixed roof tanks. Emissions are calculated per storage tank.
Calculations are based on equations provided in AP-42 Chapter 7.1 (June 2020) for annual emission rates, and TCEQ APDG 6250v3 (February 2020) for short term emission rates.</t>
    </r>
  </si>
  <si>
    <t>O&amp;G Fixed Roof Storage Tank Workbook</t>
  </si>
  <si>
    <t>Minimum Liquid Height:</t>
  </si>
  <si>
    <t>Days per Month</t>
  </si>
  <si>
    <t>Roof and Shell Insulation:</t>
  </si>
  <si>
    <t>Tank Underground:</t>
  </si>
  <si>
    <t>Worst Case Average Daily Max. Liquid Surface Temperature (°R)</t>
  </si>
  <si>
    <t>Worst Case True Vapor Pressure @ Average Daily Max. Liquid Surface Temperature (psia)</t>
  </si>
  <si>
    <t>95+459.67</t>
  </si>
  <si>
    <t>7.1.3.1, Note 5
APDG 6250v3</t>
  </si>
  <si>
    <r>
      <t>exp[ A - (B / T</t>
    </r>
    <r>
      <rPr>
        <vertAlign val="subscript"/>
        <sz val="11"/>
        <color theme="1"/>
        <rFont val="Arial"/>
        <family val="2"/>
      </rPr>
      <t>LX@95</t>
    </r>
    <r>
      <rPr>
        <sz val="11"/>
        <color theme="1"/>
        <rFont val="Arial"/>
        <family val="2"/>
      </rPr>
      <t>)]</t>
    </r>
  </si>
  <si>
    <r>
      <t>T</t>
    </r>
    <r>
      <rPr>
        <vertAlign val="subscript"/>
        <sz val="11"/>
        <color theme="1"/>
        <rFont val="Arial"/>
        <family val="2"/>
      </rPr>
      <t>LX@95</t>
    </r>
  </si>
  <si>
    <r>
      <t>P</t>
    </r>
    <r>
      <rPr>
        <vertAlign val="subscript"/>
        <sz val="11"/>
        <color theme="1"/>
        <rFont val="Arial"/>
        <family val="2"/>
      </rPr>
      <t>VX@95</t>
    </r>
  </si>
  <si>
    <t>Figure 7.1-15</t>
  </si>
  <si>
    <t>for later update</t>
  </si>
  <si>
    <t>FUTURE UPDATES</t>
  </si>
  <si>
    <t>ABC Antoine coefficient + units</t>
  </si>
  <si>
    <t>Maximum Emission Rates (lb/hr)</t>
  </si>
  <si>
    <r>
      <t>D</t>
    </r>
    <r>
      <rPr>
        <vertAlign val="subscript"/>
        <sz val="11"/>
        <color theme="1"/>
        <rFont val="Arial"/>
        <family val="2"/>
      </rPr>
      <t>PM</t>
    </r>
  </si>
  <si>
    <r>
      <t>(D</t>
    </r>
    <r>
      <rPr>
        <vertAlign val="subscript"/>
        <sz val="11"/>
        <color theme="1"/>
        <rFont val="Arial"/>
        <family val="2"/>
      </rPr>
      <t>PM</t>
    </r>
    <r>
      <rPr>
        <sz val="11"/>
        <color theme="1"/>
        <rFont val="Arial"/>
        <family val="2"/>
      </rPr>
      <t>)V</t>
    </r>
    <r>
      <rPr>
        <vertAlign val="subscript"/>
        <sz val="11"/>
        <color theme="1"/>
        <rFont val="Arial"/>
        <family val="2"/>
      </rPr>
      <t>V</t>
    </r>
    <r>
      <rPr>
        <sz val="11"/>
        <color theme="1"/>
        <rFont val="Arial"/>
        <family val="2"/>
      </rPr>
      <t>W</t>
    </r>
    <r>
      <rPr>
        <vertAlign val="subscript"/>
        <sz val="11"/>
        <color theme="1"/>
        <rFont val="Arial"/>
        <family val="2"/>
      </rPr>
      <t>V</t>
    </r>
    <r>
      <rPr>
        <sz val="11"/>
        <color theme="1"/>
        <rFont val="Arial"/>
        <family val="2"/>
      </rPr>
      <t>K</t>
    </r>
    <r>
      <rPr>
        <vertAlign val="subscript"/>
        <sz val="11"/>
        <color theme="1"/>
        <rFont val="Arial"/>
        <family val="2"/>
      </rPr>
      <t>E</t>
    </r>
    <r>
      <rPr>
        <sz val="11"/>
        <color theme="1"/>
        <rFont val="Arial"/>
        <family val="2"/>
      </rPr>
      <t>K</t>
    </r>
    <r>
      <rPr>
        <vertAlign val="subscript"/>
        <sz val="11"/>
        <color theme="1"/>
        <rFont val="Arial"/>
        <family val="2"/>
      </rPr>
      <t>S</t>
    </r>
  </si>
  <si>
    <r>
      <t>(V</t>
    </r>
    <r>
      <rPr>
        <vertAlign val="subscript"/>
        <sz val="11"/>
        <color theme="1"/>
        <rFont val="Arial"/>
        <family val="2"/>
      </rPr>
      <t>Q</t>
    </r>
    <r>
      <rPr>
        <sz val="11"/>
        <color theme="1"/>
        <rFont val="Arial"/>
        <family val="2"/>
      </rPr>
      <t>K</t>
    </r>
    <r>
      <rPr>
        <vertAlign val="subscript"/>
        <sz val="11"/>
        <color theme="1"/>
        <rFont val="Arial"/>
        <family val="2"/>
      </rPr>
      <t>N</t>
    </r>
    <r>
      <rPr>
        <sz val="11"/>
        <color theme="1"/>
        <rFont val="Arial"/>
        <family val="2"/>
      </rPr>
      <t>K</t>
    </r>
    <r>
      <rPr>
        <vertAlign val="subscript"/>
        <sz val="11"/>
        <color theme="1"/>
        <rFont val="Arial"/>
        <family val="2"/>
      </rPr>
      <t>P</t>
    </r>
    <r>
      <rPr>
        <sz val="11"/>
        <color theme="1"/>
        <rFont val="Arial"/>
        <family val="2"/>
      </rPr>
      <t>W</t>
    </r>
    <r>
      <rPr>
        <vertAlign val="subscript"/>
        <sz val="11"/>
        <color theme="1"/>
        <rFont val="Arial"/>
        <family val="2"/>
      </rPr>
      <t>V</t>
    </r>
    <r>
      <rPr>
        <sz val="11"/>
        <color theme="1"/>
        <rFont val="Arial"/>
        <family val="2"/>
      </rPr>
      <t>K</t>
    </r>
    <r>
      <rPr>
        <vertAlign val="subscript"/>
        <sz val="11"/>
        <color theme="1"/>
        <rFont val="Arial"/>
        <family val="2"/>
      </rPr>
      <t>B</t>
    </r>
    <r>
      <rPr>
        <sz val="11"/>
        <color theme="1"/>
        <rFont val="Arial"/>
        <family val="2"/>
      </rPr>
      <t>)(D</t>
    </r>
    <r>
      <rPr>
        <vertAlign val="subscript"/>
        <sz val="11"/>
        <color theme="1"/>
        <rFont val="Arial"/>
        <family val="2"/>
      </rPr>
      <t>PM</t>
    </r>
    <r>
      <rPr>
        <sz val="11"/>
        <color theme="1"/>
        <rFont val="Arial"/>
        <family val="2"/>
      </rPr>
      <t>)/365
V</t>
    </r>
    <r>
      <rPr>
        <vertAlign val="subscript"/>
        <sz val="11"/>
        <color theme="1"/>
        <rFont val="Arial"/>
        <family val="2"/>
      </rPr>
      <t>Q</t>
    </r>
    <r>
      <rPr>
        <sz val="11"/>
        <color theme="1"/>
        <rFont val="Arial"/>
        <family val="2"/>
      </rPr>
      <t xml:space="preserve"> = 5.614Q
Q = annual net throughput</t>
    </r>
  </si>
  <si>
    <t>ISSUES</t>
  </si>
  <si>
    <t>in the Verticle tank Calc - we are assuming the liquid height as the minimum liquid height - which is conservative.  Normally it assume 1/2 max liquid level</t>
  </si>
  <si>
    <r>
      <t>ΔP</t>
    </r>
    <r>
      <rPr>
        <vertAlign val="subscript"/>
        <sz val="11"/>
        <color theme="1"/>
        <rFont val="Arial"/>
        <family val="2"/>
      </rPr>
      <t>B</t>
    </r>
  </si>
  <si>
    <r>
      <t xml:space="preserve">This workbook is a tool available to assist with calculating emissions for non-insulated vertical or horizontal fixed roof tanks for oil and gas production facilities being authorized under Permits by Rule (PBR) §30 TAC 106.352, Standard Permit §30 TAC 116.620, or the Oil &amp; Gas Non-Rule Standard Permit. 
This workbook is not required. Please fill out one workbook per unique storage tank. </t>
    </r>
    <r>
      <rPr>
        <sz val="11"/>
        <rFont val="Arial"/>
        <family val="2"/>
      </rPr>
      <t>For example, if there are multiple storage tanks with the same characteristics, a single emissions calculation can be used to represent the same tanks.</t>
    </r>
    <r>
      <rPr>
        <u/>
        <sz val="11"/>
        <color theme="1"/>
        <rFont val="Arial"/>
        <family val="2"/>
      </rPr>
      <t xml:space="preserve">
</t>
    </r>
    <r>
      <rPr>
        <sz val="11"/>
        <color theme="1"/>
        <rFont val="Arial"/>
        <family val="2"/>
      </rPr>
      <t xml:space="preserve">
Please check our website to be sure you </t>
    </r>
    <r>
      <rPr>
        <b/>
        <sz val="11"/>
        <color theme="1"/>
        <rFont val="Arial"/>
        <family val="2"/>
      </rPr>
      <t>use the latest version of the workbook</t>
    </r>
    <r>
      <rPr>
        <sz val="11"/>
        <color theme="1"/>
        <rFont val="Arial"/>
        <family val="2"/>
      </rPr>
      <t xml:space="preserve"> for all the features and accurate information. Also, please complete the workbook in the order of the sheets.
Questions? Contact the Air Permits Division at (512) 239-1250</t>
    </r>
  </si>
  <si>
    <r>
      <rPr>
        <b/>
        <sz val="11"/>
        <color theme="1"/>
        <rFont val="Arial"/>
        <family val="2"/>
      </rPr>
      <t>How to Submit:</t>
    </r>
    <r>
      <rPr>
        <sz val="11"/>
        <color theme="1"/>
        <rFont val="Arial"/>
        <family val="2"/>
      </rPr>
      <t xml:space="preserve">
After this workbook has been completed, it should be combined with the non-confidential information of the application and submitted as an attachment through the STEERS ePermits system:</t>
    </r>
  </si>
  <si>
    <t>Annual Throughput per Tank:</t>
  </si>
  <si>
    <t>Hourly Throughput per Tank:</t>
  </si>
  <si>
    <t>Average Daily Total Solar Insolation Factor</t>
  </si>
  <si>
    <r>
      <t>H</t>
    </r>
    <r>
      <rPr>
        <vertAlign val="subscript"/>
        <sz val="11"/>
        <color theme="1"/>
        <rFont val="Arial"/>
        <family val="2"/>
      </rPr>
      <t>S</t>
    </r>
    <r>
      <rPr>
        <sz val="11"/>
        <color theme="1"/>
        <rFont val="Arial"/>
        <family val="2"/>
      </rPr>
      <t xml:space="preserve"> - H</t>
    </r>
    <r>
      <rPr>
        <vertAlign val="subscript"/>
        <sz val="11"/>
        <color theme="1"/>
        <rFont val="Arial"/>
        <family val="2"/>
      </rPr>
      <t>L</t>
    </r>
    <r>
      <rPr>
        <sz val="11"/>
        <color theme="1"/>
        <rFont val="Arial"/>
        <family val="2"/>
      </rPr>
      <t xml:space="preserve"> + H</t>
    </r>
    <r>
      <rPr>
        <vertAlign val="subscript"/>
        <sz val="11"/>
        <color theme="1"/>
        <rFont val="Arial"/>
        <family val="2"/>
      </rPr>
      <t>RO</t>
    </r>
    <r>
      <rPr>
        <sz val="11"/>
        <color theme="1"/>
        <rFont val="Arial"/>
        <family val="2"/>
      </rPr>
      <t xml:space="preserve">
H</t>
    </r>
    <r>
      <rPr>
        <vertAlign val="subscript"/>
        <sz val="11"/>
        <color theme="1"/>
        <rFont val="Arial"/>
        <family val="2"/>
      </rPr>
      <t>S</t>
    </r>
    <r>
      <rPr>
        <sz val="11"/>
        <color theme="1"/>
        <rFont val="Arial"/>
        <family val="2"/>
      </rPr>
      <t xml:space="preserve"> = shell height, H</t>
    </r>
    <r>
      <rPr>
        <vertAlign val="subscript"/>
        <sz val="11"/>
        <color theme="1"/>
        <rFont val="Arial"/>
        <family val="2"/>
      </rPr>
      <t>L</t>
    </r>
    <r>
      <rPr>
        <sz val="11"/>
        <color theme="1"/>
        <rFont val="Arial"/>
        <family val="2"/>
      </rPr>
      <t xml:space="preserve"> = liquid height
If Horizontal Tank, H</t>
    </r>
    <r>
      <rPr>
        <vertAlign val="subscript"/>
        <sz val="11"/>
        <color theme="1"/>
        <rFont val="Arial"/>
        <family val="2"/>
      </rPr>
      <t>VO</t>
    </r>
    <r>
      <rPr>
        <sz val="11"/>
        <color theme="1"/>
        <rFont val="Arial"/>
        <family val="2"/>
      </rPr>
      <t xml:space="preserve"> = H</t>
    </r>
    <r>
      <rPr>
        <vertAlign val="subscript"/>
        <sz val="11"/>
        <color theme="1"/>
        <rFont val="Arial"/>
        <family val="2"/>
      </rPr>
      <t>E</t>
    </r>
    <r>
      <rPr>
        <sz val="11"/>
        <color theme="1"/>
        <rFont val="Arial"/>
        <family val="2"/>
      </rPr>
      <t>/2
H</t>
    </r>
    <r>
      <rPr>
        <vertAlign val="subscript"/>
        <sz val="11"/>
        <color theme="1"/>
        <rFont val="Arial"/>
        <family val="2"/>
      </rPr>
      <t>E</t>
    </r>
    <r>
      <rPr>
        <sz val="11"/>
        <color theme="1"/>
        <rFont val="Arial"/>
        <family val="2"/>
      </rPr>
      <t xml:space="preserve"> = π/4 * D</t>
    </r>
    <r>
      <rPr>
        <vertAlign val="subscript"/>
        <sz val="11"/>
        <color theme="1"/>
        <rFont val="Arial"/>
        <family val="2"/>
      </rPr>
      <t>E</t>
    </r>
    <r>
      <rPr>
        <sz val="11"/>
        <color theme="1"/>
        <rFont val="Arial"/>
        <family val="2"/>
      </rPr>
      <t xml:space="preserve">
H</t>
    </r>
    <r>
      <rPr>
        <vertAlign val="subscript"/>
        <sz val="11"/>
        <color theme="1"/>
        <rFont val="Arial"/>
        <family val="2"/>
      </rPr>
      <t>E</t>
    </r>
    <r>
      <rPr>
        <sz val="11"/>
        <color theme="1"/>
        <rFont val="Arial"/>
        <family val="2"/>
      </rPr>
      <t xml:space="preserve"> = Effective height for horizontal tanks
D</t>
    </r>
    <r>
      <rPr>
        <vertAlign val="subscript"/>
        <sz val="11"/>
        <color theme="1"/>
        <rFont val="Arial"/>
        <family val="2"/>
      </rPr>
      <t>E</t>
    </r>
    <r>
      <rPr>
        <sz val="11"/>
        <color theme="1"/>
        <rFont val="Arial"/>
        <family val="2"/>
      </rPr>
      <t xml:space="preserve"> = LD / (π/4)
D</t>
    </r>
    <r>
      <rPr>
        <vertAlign val="subscript"/>
        <sz val="11"/>
        <color theme="1"/>
        <rFont val="Arial"/>
        <family val="2"/>
      </rPr>
      <t>E</t>
    </r>
    <r>
      <rPr>
        <sz val="11"/>
        <color theme="1"/>
        <rFont val="Arial"/>
        <family val="2"/>
      </rPr>
      <t xml:space="preserve"> = Effective diameter for horizontal tanks</t>
    </r>
  </si>
  <si>
    <r>
      <t>(π/4)(D</t>
    </r>
    <r>
      <rPr>
        <vertAlign val="superscript"/>
        <sz val="11"/>
        <color theme="1"/>
        <rFont val="Arial"/>
        <family val="2"/>
      </rPr>
      <t>2</t>
    </r>
    <r>
      <rPr>
        <sz val="11"/>
        <color theme="1"/>
        <rFont val="Arial"/>
        <family val="2"/>
      </rPr>
      <t>)H</t>
    </r>
    <r>
      <rPr>
        <vertAlign val="subscript"/>
        <sz val="11"/>
        <color theme="1"/>
        <rFont val="Arial"/>
        <family val="2"/>
      </rPr>
      <t>VO</t>
    </r>
    <r>
      <rPr>
        <sz val="11"/>
        <color theme="1"/>
        <rFont val="Arial"/>
        <family val="2"/>
      </rPr>
      <t xml:space="preserve">
D = tank shell diameter
Replace D with D</t>
    </r>
    <r>
      <rPr>
        <vertAlign val="subscript"/>
        <sz val="11"/>
        <color theme="1"/>
        <rFont val="Arial"/>
        <family val="2"/>
      </rPr>
      <t>E</t>
    </r>
    <r>
      <rPr>
        <sz val="11"/>
        <color theme="1"/>
        <rFont val="Arial"/>
        <family val="2"/>
      </rPr>
      <t xml:space="preserve"> for horizontal tanks</t>
    </r>
  </si>
  <si>
    <r>
      <t>0.7T</t>
    </r>
    <r>
      <rPr>
        <vertAlign val="subscript"/>
        <sz val="11"/>
        <color theme="1"/>
        <rFont val="Arial"/>
        <family val="2"/>
      </rPr>
      <t>AA</t>
    </r>
    <r>
      <rPr>
        <sz val="11"/>
        <color theme="1"/>
        <rFont val="Arial"/>
        <family val="2"/>
      </rPr>
      <t xml:space="preserve"> + 0.3T</t>
    </r>
    <r>
      <rPr>
        <vertAlign val="subscript"/>
        <sz val="11"/>
        <color theme="1"/>
        <rFont val="Arial"/>
        <family val="2"/>
      </rPr>
      <t>B</t>
    </r>
    <r>
      <rPr>
        <sz val="11"/>
        <color theme="1"/>
        <rFont val="Arial"/>
        <family val="2"/>
      </rPr>
      <t xml:space="preserve"> + 0.009αI
α = Average tank surface absorptance</t>
    </r>
  </si>
  <si>
    <r>
      <t>0.4T</t>
    </r>
    <r>
      <rPr>
        <vertAlign val="subscript"/>
        <sz val="11"/>
        <color theme="1"/>
        <rFont val="Arial"/>
        <family val="2"/>
      </rPr>
      <t>AA</t>
    </r>
    <r>
      <rPr>
        <sz val="11"/>
        <color theme="1"/>
        <rFont val="Arial"/>
        <family val="2"/>
      </rPr>
      <t xml:space="preserve"> + 0.6T</t>
    </r>
    <r>
      <rPr>
        <vertAlign val="subscript"/>
        <sz val="11"/>
        <color theme="1"/>
        <rFont val="Arial"/>
        <family val="2"/>
      </rPr>
      <t>B</t>
    </r>
    <r>
      <rPr>
        <sz val="11"/>
        <color theme="1"/>
        <rFont val="Arial"/>
        <family val="2"/>
      </rPr>
      <t xml:space="preserve"> + 0.005αI
α = Average tank surface absorptance</t>
    </r>
  </si>
  <si>
    <r>
      <t>T</t>
    </r>
    <r>
      <rPr>
        <vertAlign val="subscript"/>
        <sz val="11"/>
        <color theme="1"/>
        <rFont val="Arial"/>
        <family val="2"/>
      </rPr>
      <t>AA</t>
    </r>
    <r>
      <rPr>
        <sz val="11"/>
        <color theme="1"/>
        <rFont val="Arial"/>
        <family val="2"/>
      </rPr>
      <t xml:space="preserve"> + (0.003</t>
    </r>
    <r>
      <rPr>
        <sz val="11"/>
        <color theme="1"/>
        <rFont val="Calibri"/>
        <family val="2"/>
      </rPr>
      <t>α</t>
    </r>
    <r>
      <rPr>
        <vertAlign val="subscript"/>
        <sz val="11"/>
        <color theme="1"/>
        <rFont val="Arial"/>
        <family val="2"/>
      </rPr>
      <t>S</t>
    </r>
    <r>
      <rPr>
        <sz val="11"/>
        <color theme="1"/>
        <rFont val="Arial"/>
        <family val="2"/>
      </rPr>
      <t>) I
α</t>
    </r>
    <r>
      <rPr>
        <vertAlign val="subscript"/>
        <sz val="11"/>
        <color theme="1"/>
        <rFont val="Arial"/>
        <family val="2"/>
      </rPr>
      <t>S</t>
    </r>
    <r>
      <rPr>
        <sz val="11"/>
        <color theme="1"/>
        <rFont val="Arial"/>
        <family val="2"/>
      </rPr>
      <t xml:space="preserve"> = Tank Shell Solar Absorptance Factor</t>
    </r>
  </si>
  <si>
    <r>
      <t>0.7ΔT</t>
    </r>
    <r>
      <rPr>
        <vertAlign val="subscript"/>
        <sz val="11"/>
        <color theme="1"/>
        <rFont val="Arial"/>
        <family val="2"/>
      </rPr>
      <t>A</t>
    </r>
    <r>
      <rPr>
        <sz val="11"/>
        <color theme="1"/>
        <rFont val="Arial"/>
        <family val="2"/>
      </rPr>
      <t xml:space="preserve"> + 0.02αI
α = Average tank surface absorptance</t>
    </r>
  </si>
  <si>
    <r>
      <rPr>
        <b/>
        <sz val="11"/>
        <rFont val="Arial"/>
        <family val="2"/>
      </rPr>
      <t>Instructions:</t>
    </r>
    <r>
      <rPr>
        <sz val="11"/>
        <rFont val="Arial"/>
        <family val="2"/>
      </rPr>
      <t xml:space="preserve"> Flash emissions are calculated seperately from this worksheet.  Input flash emisisons below to determine total tank emissions with this worksheet.</t>
    </r>
  </si>
  <si>
    <r>
      <rPr>
        <b/>
        <sz val="11"/>
        <rFont val="Arial"/>
        <family val="2"/>
      </rPr>
      <t>Instructions:</t>
    </r>
    <r>
      <rPr>
        <sz val="11"/>
        <rFont val="Arial"/>
        <family val="2"/>
      </rPr>
      <t xml:space="preserve"> There are no input cells in this sheet.</t>
    </r>
  </si>
  <si>
    <t>TCEQ Document No. 20897, Revised (08/21)</t>
  </si>
  <si>
    <t>Version 3.0 - Vertical or Horizontal Fixed Roof Tanks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</si>
</sst>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_(* #,##0_);_(* \(#,##0\);_(* &quot;-&quot;??_);_(@_)"/>
    <numFmt numFmtId="168" formatCode="#,##0.000"/>
    <numFmt numFmtId="169" formatCode=";;;"/>
  </numFmts>
  <fonts count="3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0"/>
      <color theme="1"/>
      <name val="Arial"/>
      <family val="2"/>
    </font>
    <font>
      <b/>
      <sz val="10"/>
      <color theme="1"/>
      <name val="Arial"/>
      <family val="2"/>
    </font>
    <font>
      <b/>
      <vertAlign val="superscript"/>
      <sz val="10"/>
      <color theme="1"/>
      <name val="Arial"/>
      <family val="2"/>
    </font>
    <font>
      <sz val="11"/>
      <color theme="1"/>
      <name val="Calibri"/>
      <family val="2"/>
      <scheme val="minor"/>
    </font>
    <font>
      <u/>
      <sz val="11"/>
      <color theme="10"/>
      <name val="Calibri"/>
      <family val="2"/>
      <scheme val="minor"/>
    </font>
    <font>
      <sz val="8"/>
      <color theme="1"/>
      <name val="Arial"/>
      <family val="2"/>
    </font>
    <font>
      <sz val="9"/>
      <color theme="1"/>
      <name val="Arial"/>
      <family val="2"/>
    </font>
    <font>
      <b/>
      <sz val="9"/>
      <color theme="1"/>
      <name val="Arial"/>
      <family val="2"/>
    </font>
    <font>
      <u/>
      <sz val="10"/>
      <color theme="10"/>
      <name val="Arial"/>
      <family val="2"/>
    </font>
    <font>
      <sz val="10"/>
      <color theme="0"/>
      <name val="Arial"/>
      <family val="2"/>
    </font>
    <font>
      <sz val="11"/>
      <color theme="1"/>
      <name val="Arial"/>
      <family val="2"/>
    </font>
    <font>
      <b/>
      <sz val="11"/>
      <color theme="1"/>
      <name val="Arial"/>
      <family val="2"/>
    </font>
    <font>
      <sz val="11"/>
      <color theme="0"/>
      <name val="Arial"/>
      <family val="2"/>
    </font>
    <font>
      <i/>
      <sz val="11"/>
      <color theme="1"/>
      <name val="Arial"/>
      <family val="2"/>
    </font>
    <font>
      <vertAlign val="subscript"/>
      <sz val="11"/>
      <color theme="1"/>
      <name val="Arial"/>
      <family val="2"/>
    </font>
    <font>
      <vertAlign val="superscript"/>
      <sz val="11"/>
      <color theme="1"/>
      <name val="Arial"/>
      <family val="2"/>
    </font>
    <font>
      <b/>
      <sz val="14"/>
      <color theme="1"/>
      <name val="Arial"/>
      <family val="2"/>
    </font>
    <font>
      <sz val="11"/>
      <name val="Arial"/>
      <family val="2"/>
    </font>
    <font>
      <u/>
      <sz val="11"/>
      <color theme="10"/>
      <name val="Arial"/>
      <family val="2"/>
    </font>
    <font>
      <u/>
      <sz val="11"/>
      <color theme="1"/>
      <name val="Arial"/>
      <family val="2"/>
    </font>
    <font>
      <b/>
      <vertAlign val="subscript"/>
      <sz val="11"/>
      <color theme="1"/>
      <name val="Arial"/>
      <family val="2"/>
    </font>
    <font>
      <sz val="11"/>
      <color theme="0" tint="-0.499984740745262"/>
      <name val="Arial"/>
      <family val="2"/>
    </font>
    <font>
      <sz val="11"/>
      <color rgb="FFFF0000"/>
      <name val="Arial"/>
      <family val="2"/>
    </font>
    <font>
      <sz val="10"/>
      <color rgb="FFFF0000"/>
      <name val="Arial"/>
      <family val="2"/>
    </font>
    <font>
      <sz val="11"/>
      <color theme="1"/>
      <name val="Calibri"/>
      <family val="2"/>
    </font>
    <font>
      <b/>
      <sz val="11"/>
      <name val="Arial"/>
      <family val="2"/>
    </font>
    <font>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ECFF"/>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tint="-0.149967955565050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theme="0"/>
      </top>
      <bottom style="thin">
        <color theme="0"/>
      </bottom>
      <diagonal/>
    </border>
    <border>
      <left/>
      <right/>
      <top style="thin">
        <color theme="0"/>
      </top>
      <bottom style="thin">
        <color indexed="64"/>
      </bottom>
      <diagonal/>
    </border>
    <border>
      <left/>
      <right/>
      <top style="thin">
        <color theme="0"/>
      </top>
      <bottom/>
      <diagonal/>
    </border>
    <border>
      <left/>
      <right style="medium">
        <color indexed="64"/>
      </right>
      <top style="thin">
        <color theme="0"/>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indexed="64"/>
      </left>
      <right/>
      <top/>
      <bottom style="thin">
        <color indexed="64"/>
      </bottom>
      <diagonal/>
    </border>
    <border>
      <left/>
      <right/>
      <top style="medium">
        <color indexed="64"/>
      </top>
      <bottom style="thin">
        <color theme="0"/>
      </bottom>
      <diagonal/>
    </border>
    <border>
      <left style="medium">
        <color indexed="64"/>
      </left>
      <right/>
      <top style="thin">
        <color theme="0"/>
      </top>
      <bottom style="thin">
        <color indexed="64"/>
      </bottom>
      <diagonal/>
    </border>
    <border>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5">
    <xf numFmtId="0" fontId="0" fillId="0" borderId="0"/>
    <xf numFmtId="0" fontId="4" fillId="0" borderId="0"/>
    <xf numFmtId="0" fontId="4" fillId="0" borderId="0"/>
    <xf numFmtId="43" fontId="7" fillId="0" borderId="0" applyFont="0" applyFill="0" applyBorder="0" applyAlignment="0" applyProtection="0"/>
    <xf numFmtId="0" fontId="8" fillId="0" borderId="0" applyNumberFormat="0" applyFill="0" applyBorder="0" applyAlignment="0" applyProtection="0"/>
  </cellStyleXfs>
  <cellXfs count="384">
    <xf numFmtId="0" fontId="0" fillId="0" borderId="0" xfId="0"/>
    <xf numFmtId="0" fontId="4" fillId="0" borderId="0" xfId="1"/>
    <xf numFmtId="0" fontId="4" fillId="0" borderId="0" xfId="1" applyFont="1"/>
    <xf numFmtId="0" fontId="4" fillId="0" borderId="0" xfId="1" applyFont="1" applyAlignment="1">
      <alignment wrapText="1"/>
    </xf>
    <xf numFmtId="0" fontId="4" fillId="0" borderId="0" xfId="1" applyAlignment="1">
      <alignment wrapText="1"/>
    </xf>
    <xf numFmtId="0" fontId="5" fillId="0" borderId="0" xfId="1" applyFont="1"/>
    <xf numFmtId="0" fontId="5" fillId="0" borderId="0" xfId="1" applyFont="1" applyAlignment="1">
      <alignment wrapText="1"/>
    </xf>
    <xf numFmtId="0" fontId="4" fillId="0" borderId="0" xfId="1" applyFill="1" applyAlignment="1">
      <alignment horizontal="center"/>
    </xf>
    <xf numFmtId="2" fontId="4" fillId="0" borderId="0" xfId="1" applyNumberFormat="1" applyFill="1" applyAlignment="1">
      <alignment horizontal="center"/>
    </xf>
    <xf numFmtId="0" fontId="5" fillId="0" borderId="18" xfId="0" applyFont="1" applyBorder="1"/>
    <xf numFmtId="0" fontId="5" fillId="0" borderId="19" xfId="0" applyFont="1" applyBorder="1"/>
    <xf numFmtId="0" fontId="5" fillId="0" borderId="20" xfId="0" applyFont="1" applyBorder="1"/>
    <xf numFmtId="0" fontId="4" fillId="0" borderId="21" xfId="0" applyFont="1" applyBorder="1"/>
    <xf numFmtId="0" fontId="4" fillId="0" borderId="0" xfId="0" applyFont="1" applyBorder="1"/>
    <xf numFmtId="0" fontId="4" fillId="0" borderId="22" xfId="0" applyFont="1" applyBorder="1"/>
    <xf numFmtId="0" fontId="4" fillId="0" borderId="22" xfId="0" applyFont="1" applyFill="1" applyBorder="1"/>
    <xf numFmtId="0" fontId="4" fillId="0" borderId="16" xfId="0" applyFont="1" applyBorder="1"/>
    <xf numFmtId="0" fontId="4" fillId="0" borderId="24" xfId="0" applyFont="1" applyBorder="1"/>
    <xf numFmtId="0" fontId="4" fillId="0" borderId="0" xfId="0" applyFont="1"/>
    <xf numFmtId="0" fontId="4" fillId="0" borderId="0" xfId="0" applyFont="1" applyFill="1" applyBorder="1"/>
    <xf numFmtId="0" fontId="4" fillId="0" borderId="16" xfId="0" applyFont="1" applyFill="1" applyBorder="1"/>
    <xf numFmtId="0" fontId="4" fillId="0" borderId="0" xfId="1" applyFont="1" applyBorder="1"/>
    <xf numFmtId="165" fontId="4" fillId="0" borderId="0" xfId="1" applyNumberFormat="1"/>
    <xf numFmtId="165" fontId="4" fillId="0" borderId="0" xfId="1" applyNumberFormat="1" applyFill="1"/>
    <xf numFmtId="2" fontId="4" fillId="0" borderId="0" xfId="1" applyNumberFormat="1"/>
    <xf numFmtId="2" fontId="4" fillId="0" borderId="0" xfId="1" applyNumberFormat="1" applyFill="1"/>
    <xf numFmtId="0" fontId="4" fillId="0" borderId="0" xfId="1" applyFill="1"/>
    <xf numFmtId="0" fontId="5" fillId="0" borderId="20" xfId="0" applyFont="1" applyBorder="1" applyAlignment="1">
      <alignment wrapText="1"/>
    </xf>
    <xf numFmtId="0" fontId="4" fillId="2" borderId="0" xfId="1" applyFont="1" applyFill="1"/>
    <xf numFmtId="2" fontId="4" fillId="2" borderId="0" xfId="1" applyNumberFormat="1" applyFill="1"/>
    <xf numFmtId="0" fontId="4" fillId="0" borderId="0" xfId="1" applyFill="1" applyAlignment="1">
      <alignment wrapText="1"/>
    </xf>
    <xf numFmtId="164" fontId="4" fillId="0" borderId="0" xfId="1" applyNumberFormat="1" applyFill="1" applyAlignment="1">
      <alignment horizontal="center"/>
    </xf>
    <xf numFmtId="0" fontId="4" fillId="0" borderId="0" xfId="1" applyAlignment="1"/>
    <xf numFmtId="0" fontId="4" fillId="2" borderId="21" xfId="1" applyFont="1" applyFill="1" applyBorder="1"/>
    <xf numFmtId="0" fontId="4" fillId="2" borderId="23" xfId="0" applyFont="1" applyFill="1" applyBorder="1"/>
    <xf numFmtId="0" fontId="4" fillId="0" borderId="21" xfId="1" applyFont="1" applyFill="1" applyBorder="1"/>
    <xf numFmtId="0" fontId="4" fillId="2" borderId="21" xfId="0" applyFont="1" applyFill="1" applyBorder="1"/>
    <xf numFmtId="0" fontId="5" fillId="0" borderId="0" xfId="0" applyFont="1"/>
    <xf numFmtId="0" fontId="4" fillId="0" borderId="18" xfId="0" applyFont="1" applyBorder="1"/>
    <xf numFmtId="0" fontId="4" fillId="0" borderId="19" xfId="0" applyFont="1" applyBorder="1"/>
    <xf numFmtId="0" fontId="4" fillId="0" borderId="20" xfId="0" applyFont="1" applyBorder="1"/>
    <xf numFmtId="0" fontId="4" fillId="0" borderId="19" xfId="0" applyFont="1" applyFill="1" applyBorder="1"/>
    <xf numFmtId="0" fontId="4" fillId="0" borderId="20" xfId="0" applyFont="1" applyFill="1" applyBorder="1"/>
    <xf numFmtId="0" fontId="4" fillId="0" borderId="24" xfId="0" applyFont="1" applyFill="1" applyBorder="1"/>
    <xf numFmtId="0" fontId="4" fillId="0" borderId="18" xfId="0" applyFont="1" applyBorder="1" applyAlignment="1">
      <alignment wrapText="1"/>
    </xf>
    <xf numFmtId="0" fontId="4" fillId="0" borderId="0" xfId="0" applyFont="1" applyBorder="1" applyAlignment="1">
      <alignment wrapText="1"/>
    </xf>
    <xf numFmtId="0" fontId="4" fillId="0" borderId="21" xfId="0" applyFont="1" applyBorder="1" applyAlignment="1">
      <alignment wrapText="1"/>
    </xf>
    <xf numFmtId="0" fontId="4" fillId="2" borderId="18" xfId="0" applyFont="1" applyFill="1" applyBorder="1" applyAlignment="1">
      <alignment wrapText="1"/>
    </xf>
    <xf numFmtId="0" fontId="4" fillId="2" borderId="21" xfId="0" applyFont="1" applyFill="1" applyBorder="1" applyAlignment="1">
      <alignment wrapText="1"/>
    </xf>
    <xf numFmtId="0" fontId="4" fillId="2" borderId="23" xfId="0" applyFont="1" applyFill="1" applyBorder="1" applyAlignment="1">
      <alignment wrapText="1"/>
    </xf>
    <xf numFmtId="1" fontId="4" fillId="0" borderId="0" xfId="0" applyNumberFormat="1" applyFont="1" applyFill="1" applyBorder="1"/>
    <xf numFmtId="1" fontId="4" fillId="0" borderId="16" xfId="0" applyNumberFormat="1" applyFont="1" applyFill="1" applyBorder="1"/>
    <xf numFmtId="0" fontId="4" fillId="0" borderId="0" xfId="0" applyFont="1" applyAlignment="1" applyProtection="1">
      <alignment horizontal="center" vertical="center"/>
      <protection locked="0"/>
    </xf>
    <xf numFmtId="0" fontId="15" fillId="3" borderId="43" xfId="1" applyFont="1" applyFill="1" applyBorder="1" applyAlignment="1">
      <alignment wrapText="1"/>
    </xf>
    <xf numFmtId="0" fontId="15" fillId="3" borderId="40" xfId="1" applyFont="1" applyFill="1" applyBorder="1" applyAlignment="1">
      <alignment wrapText="1"/>
    </xf>
    <xf numFmtId="0" fontId="15" fillId="3" borderId="36" xfId="1" applyFont="1" applyFill="1" applyBorder="1" applyAlignment="1">
      <alignment wrapText="1"/>
    </xf>
    <xf numFmtId="0" fontId="15" fillId="3" borderId="44" xfId="1" applyFont="1" applyFill="1" applyBorder="1" applyAlignment="1">
      <alignment wrapText="1"/>
    </xf>
    <xf numFmtId="0" fontId="15" fillId="3" borderId="32" xfId="1" applyFont="1" applyFill="1" applyBorder="1"/>
    <xf numFmtId="0" fontId="15" fillId="3" borderId="33" xfId="1" applyFont="1" applyFill="1" applyBorder="1"/>
    <xf numFmtId="0" fontId="15" fillId="3" borderId="34" xfId="1" applyFont="1" applyFill="1" applyBorder="1"/>
    <xf numFmtId="0" fontId="15" fillId="0" borderId="32" xfId="0" applyFont="1" applyBorder="1" applyAlignment="1" applyProtection="1">
      <alignment horizontal="left" vertical="center"/>
      <protection locked="0"/>
    </xf>
    <xf numFmtId="0" fontId="15" fillId="0" borderId="33" xfId="0" applyFont="1" applyBorder="1" applyAlignment="1">
      <alignment horizontal="center"/>
    </xf>
    <xf numFmtId="0" fontId="15" fillId="0" borderId="34" xfId="0" applyNumberFormat="1" applyFont="1" applyBorder="1" applyAlignment="1">
      <alignment horizontal="center"/>
    </xf>
    <xf numFmtId="0" fontId="14" fillId="0" borderId="47" xfId="0" applyFont="1" applyBorder="1" applyAlignment="1" applyProtection="1">
      <alignment horizontal="center" vertical="center"/>
      <protection locked="0"/>
    </xf>
    <xf numFmtId="0" fontId="14" fillId="0" borderId="35" xfId="0" applyFont="1" applyBorder="1" applyAlignment="1">
      <alignment horizontal="center"/>
    </xf>
    <xf numFmtId="0" fontId="14" fillId="0" borderId="37" xfId="0" applyNumberFormat="1" applyFont="1" applyBorder="1" applyAlignment="1">
      <alignment horizontal="center"/>
    </xf>
    <xf numFmtId="0" fontId="14" fillId="0" borderId="9"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1" xfId="0" applyFont="1" applyBorder="1" applyAlignment="1">
      <alignment horizontal="center"/>
    </xf>
    <xf numFmtId="0" fontId="14" fillId="0" borderId="9" xfId="0" applyNumberFormat="1" applyFont="1" applyBorder="1" applyAlignment="1">
      <alignment horizontal="center"/>
    </xf>
    <xf numFmtId="16" fontId="14" fillId="0" borderId="9" xfId="0" applyNumberFormat="1" applyFont="1" applyBorder="1" applyAlignment="1">
      <alignment horizontal="center"/>
    </xf>
    <xf numFmtId="0" fontId="14" fillId="0" borderId="1" xfId="0" applyFont="1" applyBorder="1" applyAlignment="1">
      <alignment horizontal="center" wrapText="1"/>
    </xf>
    <xf numFmtId="0" fontId="14" fillId="0" borderId="1" xfId="0" applyFont="1" applyFill="1" applyBorder="1" applyAlignment="1">
      <alignment horizontal="center" wrapText="1"/>
    </xf>
    <xf numFmtId="0" fontId="14" fillId="0" borderId="1" xfId="0" applyFont="1" applyFill="1" applyBorder="1" applyAlignment="1">
      <alignment horizontal="center"/>
    </xf>
    <xf numFmtId="0" fontId="14" fillId="0" borderId="10" xfId="0" applyFont="1" applyBorder="1" applyAlignment="1" applyProtection="1">
      <alignment horizontal="center" vertical="center"/>
      <protection locked="0"/>
    </xf>
    <xf numFmtId="0" fontId="14" fillId="0" borderId="11" xfId="0" applyNumberFormat="1" applyFont="1" applyBorder="1" applyAlignment="1">
      <alignment horizontal="center"/>
    </xf>
    <xf numFmtId="0" fontId="14" fillId="0" borderId="2" xfId="0" applyFont="1" applyBorder="1" applyAlignment="1" applyProtection="1">
      <alignment horizontal="center" vertical="center"/>
      <protection locked="0"/>
    </xf>
    <xf numFmtId="0" fontId="14" fillId="0" borderId="7" xfId="0" applyFont="1" applyBorder="1" applyAlignment="1">
      <alignment horizontal="center"/>
    </xf>
    <xf numFmtId="0" fontId="14" fillId="0" borderId="8" xfId="0" applyNumberFormat="1" applyFont="1" applyBorder="1" applyAlignment="1">
      <alignment horizontal="center"/>
    </xf>
    <xf numFmtId="0" fontId="14" fillId="0" borderId="9" xfId="0" applyNumberFormat="1" applyFont="1" applyBorder="1" applyAlignment="1">
      <alignment horizontal="center" wrapText="1"/>
    </xf>
    <xf numFmtId="0" fontId="14" fillId="0" borderId="45" xfId="0" applyFont="1" applyBorder="1" applyAlignment="1">
      <alignment horizontal="center" wrapText="1"/>
    </xf>
    <xf numFmtId="0" fontId="14" fillId="0" borderId="45" xfId="0" applyFont="1" applyBorder="1" applyAlignment="1">
      <alignment horizontal="center"/>
    </xf>
    <xf numFmtId="0" fontId="14" fillId="0" borderId="0" xfId="0" applyFont="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4" fillId="0" borderId="0" xfId="0" applyFont="1"/>
    <xf numFmtId="0" fontId="14" fillId="0" borderId="48" xfId="0" applyFont="1" applyBorder="1" applyAlignment="1" applyProtection="1">
      <alignment horizontal="center" vertical="center"/>
      <protection locked="0"/>
    </xf>
    <xf numFmtId="0" fontId="15" fillId="3" borderId="33"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1" xfId="1" applyFont="1" applyFill="1" applyBorder="1" applyAlignment="1" applyProtection="1">
      <alignment horizontal="center" wrapText="1"/>
    </xf>
    <xf numFmtId="0" fontId="14" fillId="5" borderId="7"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45" xfId="0" applyFont="1" applyFill="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167" fontId="10" fillId="0" borderId="35" xfId="3" applyNumberFormat="1" applyFont="1" applyBorder="1" applyAlignment="1" applyProtection="1">
      <alignment horizontal="center" vertical="center"/>
    </xf>
    <xf numFmtId="167" fontId="10" fillId="0" borderId="37" xfId="3" applyNumberFormat="1" applyFont="1" applyBorder="1" applyAlignment="1" applyProtection="1">
      <alignment horizontal="center" vertical="center"/>
    </xf>
    <xf numFmtId="43" fontId="10" fillId="0" borderId="1" xfId="3" applyFont="1" applyBorder="1" applyAlignment="1" applyProtection="1">
      <alignment horizontal="center" vertical="center"/>
    </xf>
    <xf numFmtId="43" fontId="10" fillId="0" borderId="9" xfId="3" applyFont="1" applyBorder="1" applyAlignment="1" applyProtection="1">
      <alignment horizontal="center" vertical="center"/>
    </xf>
    <xf numFmtId="2" fontId="10" fillId="0" borderId="1" xfId="0" applyNumberFormat="1" applyFont="1" applyBorder="1" applyAlignment="1" applyProtection="1">
      <alignment horizontal="center" vertical="center"/>
    </xf>
    <xf numFmtId="2" fontId="10" fillId="0" borderId="9" xfId="0" applyNumberFormat="1" applyFont="1" applyBorder="1" applyAlignment="1" applyProtection="1">
      <alignment horizontal="center" vertical="center"/>
    </xf>
    <xf numFmtId="2" fontId="10" fillId="0" borderId="45" xfId="0" applyNumberFormat="1" applyFont="1" applyBorder="1" applyAlignment="1" applyProtection="1">
      <alignment horizontal="center" vertical="center"/>
    </xf>
    <xf numFmtId="2" fontId="10" fillId="0" borderId="11" xfId="0" applyNumberFormat="1" applyFont="1" applyBorder="1" applyAlignment="1" applyProtection="1">
      <alignment horizontal="center" vertical="center"/>
    </xf>
    <xf numFmtId="0" fontId="14" fillId="3" borderId="41"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15" xfId="1" applyFont="1" applyFill="1" applyBorder="1" applyAlignment="1" applyProtection="1">
      <alignment horizontal="center" wrapText="1"/>
    </xf>
    <xf numFmtId="0" fontId="4" fillId="0" borderId="0" xfId="0" applyFont="1" applyFill="1" applyAlignment="1" applyProtection="1">
      <alignment horizontal="center" vertical="center"/>
      <protection locked="0"/>
    </xf>
    <xf numFmtId="0" fontId="14" fillId="5" borderId="41"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xf>
    <xf numFmtId="0" fontId="14" fillId="5" borderId="42" xfId="0" applyFont="1" applyFill="1" applyBorder="1" applyAlignment="1" applyProtection="1">
      <alignment horizontal="center" vertical="center" wrapText="1"/>
    </xf>
    <xf numFmtId="0" fontId="0" fillId="0" borderId="0" xfId="0" applyFill="1"/>
    <xf numFmtId="0" fontId="4" fillId="0" borderId="0" xfId="0" applyFont="1" applyAlignment="1" applyProtection="1">
      <alignment horizontal="center" vertical="center"/>
    </xf>
    <xf numFmtId="0" fontId="10" fillId="0" borderId="0" xfId="0" applyFont="1" applyAlignment="1" applyProtection="1">
      <alignment horizontal="center" vertical="center" wrapText="1"/>
    </xf>
    <xf numFmtId="0" fontId="4" fillId="0" borderId="0" xfId="0" applyFont="1" applyAlignment="1" applyProtection="1">
      <alignment horizontal="center"/>
    </xf>
    <xf numFmtId="0" fontId="4" fillId="0" borderId="0" xfId="0" applyNumberFormat="1" applyFont="1" applyAlignment="1" applyProtection="1">
      <alignment horizontal="center"/>
    </xf>
    <xf numFmtId="0" fontId="14" fillId="0" borderId="0" xfId="0" applyFont="1" applyAlignment="1" applyProtection="1">
      <alignment horizontal="center" vertical="center"/>
    </xf>
    <xf numFmtId="0" fontId="14" fillId="0" borderId="0" xfId="0" applyFont="1" applyAlignment="1" applyProtection="1">
      <alignment horizontal="center" vertical="center" wrapText="1"/>
    </xf>
    <xf numFmtId="0" fontId="9" fillId="0" borderId="0" xfId="0" applyFont="1" applyAlignment="1" applyProtection="1">
      <alignment horizontal="center" vertical="center"/>
    </xf>
    <xf numFmtId="0" fontId="22" fillId="0" borderId="0" xfId="4" applyFont="1" applyAlignment="1"/>
    <xf numFmtId="0" fontId="15" fillId="7" borderId="4" xfId="1" applyFont="1" applyFill="1" applyBorder="1" applyAlignment="1" applyProtection="1"/>
    <xf numFmtId="0" fontId="21" fillId="0" borderId="0" xfId="0" applyFont="1"/>
    <xf numFmtId="1" fontId="4" fillId="0" borderId="22" xfId="0" applyNumberFormat="1" applyFont="1" applyBorder="1"/>
    <xf numFmtId="1" fontId="4" fillId="0" borderId="0" xfId="0" applyNumberFormat="1" applyFont="1" applyBorder="1"/>
    <xf numFmtId="0" fontId="4" fillId="0" borderId="0" xfId="0" applyFont="1" applyBorder="1" applyAlignment="1"/>
    <xf numFmtId="0" fontId="10" fillId="0" borderId="1" xfId="0" applyFont="1" applyBorder="1" applyAlignment="1" applyProtection="1">
      <alignment horizontal="center" vertical="center"/>
    </xf>
    <xf numFmtId="0" fontId="10" fillId="0" borderId="9" xfId="0" applyFont="1" applyBorder="1" applyAlignment="1" applyProtection="1">
      <alignment horizontal="center" vertical="center"/>
    </xf>
    <xf numFmtId="169" fontId="22" fillId="0" borderId="0" xfId="4" applyNumberFormat="1" applyFont="1" applyFill="1" applyBorder="1" applyAlignment="1">
      <alignment wrapText="1"/>
    </xf>
    <xf numFmtId="2" fontId="25" fillId="8" borderId="1" xfId="1" applyNumberFormat="1" applyFont="1" applyFill="1" applyBorder="1" applyAlignment="1" applyProtection="1">
      <alignment horizontal="center"/>
      <protection locked="0"/>
    </xf>
    <xf numFmtId="0" fontId="22" fillId="0" borderId="6" xfId="4" applyFont="1" applyBorder="1"/>
    <xf numFmtId="0" fontId="22" fillId="0" borderId="10" xfId="4" applyFont="1" applyBorder="1"/>
    <xf numFmtId="165" fontId="10" fillId="0" borderId="1" xfId="0" applyNumberFormat="1" applyFont="1" applyBorder="1" applyAlignment="1" applyProtection="1">
      <alignment horizontal="center" vertical="center"/>
    </xf>
    <xf numFmtId="166" fontId="10" fillId="0" borderId="1" xfId="0" applyNumberFormat="1" applyFont="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0" fontId="14" fillId="0" borderId="76" xfId="0" applyFont="1" applyBorder="1" applyAlignment="1" applyProtection="1">
      <alignment horizontal="center" vertical="center"/>
      <protection locked="0"/>
    </xf>
    <xf numFmtId="0" fontId="14" fillId="3" borderId="46" xfId="0" applyFont="1" applyFill="1" applyBorder="1" applyAlignment="1" applyProtection="1">
      <alignment horizontal="center" vertical="center" wrapText="1"/>
    </xf>
    <xf numFmtId="165" fontId="10" fillId="0" borderId="30" xfId="0" applyNumberFormat="1" applyFont="1" applyBorder="1" applyAlignment="1" applyProtection="1">
      <alignment horizontal="center" vertical="center"/>
    </xf>
    <xf numFmtId="2" fontId="10" fillId="0" borderId="7" xfId="0" applyNumberFormat="1" applyFont="1" applyBorder="1" applyAlignment="1" applyProtection="1">
      <alignment horizontal="center" vertical="center"/>
    </xf>
    <xf numFmtId="0" fontId="15" fillId="7" borderId="0" xfId="1" applyFont="1" applyFill="1" applyBorder="1" applyAlignment="1" applyProtection="1"/>
    <xf numFmtId="0" fontId="3" fillId="0" borderId="1" xfId="0" applyFont="1" applyBorder="1" applyAlignment="1">
      <alignment horizontal="center" wrapText="1"/>
    </xf>
    <xf numFmtId="0" fontId="3" fillId="0" borderId="9" xfId="0" applyNumberFormat="1" applyFont="1" applyBorder="1" applyAlignment="1">
      <alignment horizontal="center"/>
    </xf>
    <xf numFmtId="0" fontId="3" fillId="0" borderId="9" xfId="0" applyNumberFormat="1" applyFont="1" applyBorder="1" applyAlignment="1">
      <alignment horizontal="center" wrapText="1"/>
    </xf>
    <xf numFmtId="0" fontId="3" fillId="0" borderId="0" xfId="1" applyFont="1" applyProtection="1">
      <protection locked="0"/>
    </xf>
    <xf numFmtId="0" fontId="3" fillId="0" borderId="0" xfId="1" applyFont="1" applyAlignment="1" applyProtection="1">
      <alignment horizontal="left"/>
      <protection locked="0"/>
    </xf>
    <xf numFmtId="0" fontId="3" fillId="0" borderId="0" xfId="1" applyFont="1" applyAlignment="1" applyProtection="1">
      <alignment horizontal="center"/>
      <protection locked="0"/>
    </xf>
    <xf numFmtId="169" fontId="16" fillId="0" borderId="0" xfId="1" applyNumberFormat="1" applyFont="1"/>
    <xf numFmtId="169" fontId="15" fillId="0" borderId="0" xfId="1" applyNumberFormat="1" applyFont="1" applyAlignment="1">
      <alignment wrapText="1"/>
    </xf>
    <xf numFmtId="169" fontId="3" fillId="0" borderId="0" xfId="1" applyNumberFormat="1" applyFont="1" applyAlignment="1" applyProtection="1">
      <alignment horizontal="left"/>
      <protection locked="0"/>
    </xf>
    <xf numFmtId="0" fontId="3" fillId="0" borderId="11" xfId="1" applyFont="1" applyBorder="1" applyAlignment="1">
      <alignment horizontal="left"/>
    </xf>
    <xf numFmtId="165" fontId="3" fillId="0" borderId="42" xfId="1" applyNumberFormat="1" applyFont="1" applyBorder="1" applyAlignment="1">
      <alignment horizontal="center" wrapText="1"/>
    </xf>
    <xf numFmtId="0" fontId="3" fillId="0" borderId="37" xfId="1" applyFont="1" applyBorder="1" applyAlignment="1">
      <alignment horizontal="left"/>
    </xf>
    <xf numFmtId="165" fontId="3" fillId="0" borderId="31" xfId="1" applyNumberFormat="1" applyFont="1" applyBorder="1" applyAlignment="1">
      <alignment horizontal="center" wrapText="1"/>
    </xf>
    <xf numFmtId="0" fontId="3" fillId="0" borderId="8" xfId="1" applyFont="1" applyBorder="1" applyAlignment="1">
      <alignment horizontal="left"/>
    </xf>
    <xf numFmtId="165" fontId="3" fillId="0" borderId="41" xfId="1" applyNumberFormat="1" applyFont="1" applyBorder="1" applyAlignment="1">
      <alignment horizontal="center" wrapText="1"/>
    </xf>
    <xf numFmtId="0" fontId="3" fillId="0" borderId="9" xfId="1" applyFont="1" applyBorder="1" applyAlignment="1">
      <alignment horizontal="left"/>
    </xf>
    <xf numFmtId="165" fontId="3" fillId="0" borderId="1" xfId="1" applyNumberFormat="1" applyFont="1" applyBorder="1" applyAlignment="1">
      <alignment horizontal="center" wrapText="1"/>
    </xf>
    <xf numFmtId="0" fontId="3" fillId="3" borderId="6" xfId="1" applyFont="1" applyFill="1" applyBorder="1" applyAlignment="1">
      <alignment wrapText="1"/>
    </xf>
    <xf numFmtId="165" fontId="3" fillId="0" borderId="1" xfId="1" quotePrefix="1" applyNumberFormat="1" applyFont="1" applyBorder="1" applyAlignment="1">
      <alignment horizontal="center" wrapText="1"/>
    </xf>
    <xf numFmtId="0" fontId="3" fillId="0" borderId="34" xfId="0" applyFont="1" applyBorder="1" applyAlignment="1">
      <alignment horizontal="left"/>
    </xf>
    <xf numFmtId="0" fontId="3" fillId="4" borderId="33" xfId="0" applyFont="1" applyFill="1" applyBorder="1" applyAlignment="1" applyProtection="1">
      <alignment horizontal="center" wrapText="1"/>
      <protection locked="0"/>
    </xf>
    <xf numFmtId="168" fontId="3" fillId="0" borderId="39" xfId="0" applyNumberFormat="1" applyFont="1" applyBorder="1" applyAlignment="1">
      <alignment horizontal="center"/>
    </xf>
    <xf numFmtId="0" fontId="15" fillId="3" borderId="38" xfId="0" applyFont="1" applyFill="1" applyBorder="1" applyAlignment="1">
      <alignment wrapText="1"/>
    </xf>
    <xf numFmtId="0" fontId="3" fillId="0" borderId="45" xfId="0" applyFont="1" applyBorder="1" applyAlignment="1">
      <alignment horizontal="left"/>
    </xf>
    <xf numFmtId="165" fontId="3" fillId="4" borderId="45" xfId="1" applyNumberFormat="1" applyFont="1" applyFill="1" applyBorder="1" applyAlignment="1" applyProtection="1">
      <alignment horizontal="center"/>
      <protection locked="0"/>
    </xf>
    <xf numFmtId="0" fontId="3" fillId="0" borderId="45" xfId="0" applyFont="1" applyBorder="1" applyAlignment="1">
      <alignment horizontal="center"/>
    </xf>
    <xf numFmtId="0" fontId="3" fillId="3" borderId="45" xfId="0" applyFont="1" applyFill="1" applyBorder="1" applyAlignment="1">
      <alignment wrapText="1"/>
    </xf>
    <xf numFmtId="0" fontId="3" fillId="0" borderId="1" xfId="0" applyFont="1" applyBorder="1" applyAlignment="1">
      <alignment horizontal="left"/>
    </xf>
    <xf numFmtId="165" fontId="3" fillId="4" borderId="1" xfId="1" applyNumberFormat="1" applyFont="1" applyFill="1" applyBorder="1" applyAlignment="1" applyProtection="1">
      <alignment horizontal="center"/>
      <protection locked="0"/>
    </xf>
    <xf numFmtId="0" fontId="3" fillId="0" borderId="1" xfId="0" applyFont="1" applyBorder="1" applyAlignment="1">
      <alignment horizontal="center"/>
    </xf>
    <xf numFmtId="0" fontId="3" fillId="3" borderId="1" xfId="0" applyFont="1" applyFill="1" applyBorder="1" applyAlignment="1">
      <alignment wrapText="1"/>
    </xf>
    <xf numFmtId="0" fontId="3" fillId="0" borderId="31" xfId="0" applyFont="1" applyBorder="1" applyAlignment="1">
      <alignment horizontal="center"/>
    </xf>
    <xf numFmtId="165" fontId="3" fillId="6" borderId="1" xfId="1" applyNumberFormat="1" applyFont="1" applyFill="1" applyBorder="1" applyAlignment="1" applyProtection="1">
      <alignment horizontal="center"/>
      <protection locked="0"/>
    </xf>
    <xf numFmtId="166" fontId="3" fillId="0" borderId="31" xfId="0" quotePrefix="1" applyNumberFormat="1" applyFont="1" applyBorder="1" applyAlignment="1">
      <alignment horizontal="center" wrapText="1"/>
    </xf>
    <xf numFmtId="166" fontId="3" fillId="4" borderId="1" xfId="1" applyNumberFormat="1" applyFont="1" applyFill="1" applyBorder="1" applyAlignment="1" applyProtection="1">
      <alignment horizontal="center" wrapText="1"/>
      <protection locked="0"/>
    </xf>
    <xf numFmtId="0" fontId="3" fillId="0" borderId="15" xfId="0" applyFont="1" applyBorder="1" applyAlignment="1">
      <alignment horizontal="center"/>
    </xf>
    <xf numFmtId="166" fontId="3" fillId="4" borderId="1" xfId="1" applyNumberFormat="1" applyFont="1" applyFill="1" applyBorder="1" applyAlignment="1" applyProtection="1">
      <alignment horizontal="center"/>
      <protection locked="0"/>
    </xf>
    <xf numFmtId="0" fontId="3" fillId="0" borderId="1" xfId="1" applyFont="1" applyBorder="1" applyAlignment="1">
      <alignment horizontal="left"/>
    </xf>
    <xf numFmtId="0" fontId="3" fillId="0" borderId="1" xfId="1" applyFont="1" applyBorder="1" applyAlignment="1">
      <alignment horizontal="center" wrapText="1"/>
    </xf>
    <xf numFmtId="0" fontId="3" fillId="3" borderId="1" xfId="1" applyFont="1" applyFill="1" applyBorder="1" applyAlignment="1">
      <alignment wrapText="1"/>
    </xf>
    <xf numFmtId="2" fontId="3" fillId="0" borderId="1" xfId="1" applyNumberFormat="1" applyFont="1" applyBorder="1" applyAlignment="1">
      <alignment horizontal="center" wrapText="1"/>
    </xf>
    <xf numFmtId="166" fontId="3" fillId="6" borderId="1" xfId="1" applyNumberFormat="1" applyFont="1" applyFill="1" applyBorder="1" applyAlignment="1" applyProtection="1">
      <alignment horizontal="center"/>
      <protection locked="0"/>
    </xf>
    <xf numFmtId="0" fontId="25" fillId="8" borderId="1" xfId="1" applyFont="1" applyFill="1" applyBorder="1" applyAlignment="1">
      <alignment horizontal="left"/>
    </xf>
    <xf numFmtId="0" fontId="25" fillId="8" borderId="1" xfId="1" applyFont="1" applyFill="1" applyBorder="1" applyAlignment="1">
      <alignment horizontal="center" wrapText="1"/>
    </xf>
    <xf numFmtId="0" fontId="25" fillId="8" borderId="1" xfId="1" applyFont="1" applyFill="1" applyBorder="1" applyAlignment="1">
      <alignment wrapText="1"/>
    </xf>
    <xf numFmtId="166" fontId="3" fillId="0" borderId="1" xfId="1" applyNumberFormat="1" applyFont="1" applyBorder="1" applyAlignment="1">
      <alignment horizontal="center" wrapText="1"/>
    </xf>
    <xf numFmtId="166" fontId="3" fillId="0" borderId="1" xfId="1" applyNumberFormat="1" applyFont="1" applyBorder="1" applyAlignment="1">
      <alignment horizontal="center"/>
    </xf>
    <xf numFmtId="0" fontId="3" fillId="0" borderId="15" xfId="1" applyFont="1" applyBorder="1" applyAlignment="1">
      <alignment horizontal="left"/>
    </xf>
    <xf numFmtId="2" fontId="3" fillId="4" borderId="1" xfId="1" applyNumberFormat="1" applyFont="1" applyFill="1" applyBorder="1" applyAlignment="1" applyProtection="1">
      <alignment horizontal="center"/>
      <protection locked="0"/>
    </xf>
    <xf numFmtId="2" fontId="3" fillId="0" borderId="14" xfId="1" applyNumberFormat="1" applyFont="1" applyBorder="1" applyAlignment="1">
      <alignment horizontal="center" wrapText="1"/>
    </xf>
    <xf numFmtId="0" fontId="3" fillId="3" borderId="1" xfId="1" applyFont="1" applyFill="1" applyBorder="1" applyAlignment="1">
      <alignment horizontal="left" vertical="center" wrapText="1"/>
    </xf>
    <xf numFmtId="2" fontId="3" fillId="0" borderId="17" xfId="1" applyNumberFormat="1" applyFont="1" applyBorder="1" applyAlignment="1">
      <alignment horizontal="center" wrapText="1"/>
    </xf>
    <xf numFmtId="2" fontId="3" fillId="6" borderId="1" xfId="1" applyNumberFormat="1" applyFont="1" applyFill="1" applyBorder="1" applyAlignment="1" applyProtection="1">
      <alignment horizontal="center"/>
      <protection locked="0"/>
    </xf>
    <xf numFmtId="165" fontId="3" fillId="0" borderId="17" xfId="1" applyNumberFormat="1" applyFont="1" applyBorder="1" applyAlignment="1">
      <alignment horizontal="center" wrapText="1"/>
    </xf>
    <xf numFmtId="166" fontId="3" fillId="0" borderId="17" xfId="1" applyNumberFormat="1" applyFont="1" applyBorder="1" applyAlignment="1">
      <alignment horizontal="center" wrapText="1"/>
    </xf>
    <xf numFmtId="0" fontId="3" fillId="6" borderId="1" xfId="1" applyFont="1" applyFill="1" applyBorder="1" applyAlignment="1" applyProtection="1">
      <alignment horizontal="center"/>
      <protection locked="0"/>
    </xf>
    <xf numFmtId="0" fontId="3" fillId="4" borderId="1" xfId="1" applyFont="1" applyFill="1" applyBorder="1" applyAlignment="1" applyProtection="1">
      <alignment horizontal="center"/>
      <protection locked="0"/>
    </xf>
    <xf numFmtId="165" fontId="3" fillId="0" borderId="17" xfId="1" applyNumberFormat="1" applyFont="1" applyBorder="1" applyAlignment="1">
      <alignment horizontal="center"/>
    </xf>
    <xf numFmtId="0" fontId="3" fillId="3" borderId="1" xfId="1" applyFont="1" applyFill="1" applyBorder="1"/>
    <xf numFmtId="0" fontId="3" fillId="0" borderId="1" xfId="1" applyFont="1" applyBorder="1" applyAlignment="1">
      <alignment horizontal="center"/>
    </xf>
    <xf numFmtId="0" fontId="3" fillId="4" borderId="1" xfId="1" applyFont="1" applyFill="1" applyBorder="1" applyAlignment="1" applyProtection="1">
      <alignment horizontal="center" wrapText="1"/>
      <protection locked="0"/>
    </xf>
    <xf numFmtId="0" fontId="3" fillId="4" borderId="1" xfId="2" applyFont="1" applyFill="1" applyBorder="1" applyAlignment="1" applyProtection="1">
      <alignment horizontal="center"/>
      <protection locked="0"/>
    </xf>
    <xf numFmtId="0" fontId="15" fillId="3" borderId="34" xfId="1" applyFont="1" applyFill="1" applyBorder="1" applyAlignment="1">
      <alignment horizontal="left"/>
    </xf>
    <xf numFmtId="0" fontId="15" fillId="3" borderId="33" xfId="1" applyFont="1" applyFill="1" applyBorder="1" applyAlignment="1">
      <alignment horizontal="center"/>
    </xf>
    <xf numFmtId="0" fontId="3" fillId="8" borderId="1" xfId="1" applyFont="1" applyFill="1" applyBorder="1" applyAlignment="1" applyProtection="1">
      <alignment horizontal="center" wrapText="1"/>
    </xf>
    <xf numFmtId="0" fontId="15" fillId="0" borderId="0" xfId="0" applyFont="1" applyBorder="1" applyAlignment="1" applyProtection="1">
      <alignment horizontal="center" vertical="center"/>
    </xf>
    <xf numFmtId="0" fontId="15" fillId="0" borderId="22" xfId="0" applyFont="1" applyBorder="1" applyAlignment="1" applyProtection="1">
      <alignment horizontal="center" vertical="center"/>
    </xf>
    <xf numFmtId="0" fontId="26" fillId="3" borderId="1" xfId="1" applyFont="1" applyFill="1" applyBorder="1"/>
    <xf numFmtId="0" fontId="26" fillId="4" borderId="1" xfId="1" applyFont="1" applyFill="1" applyBorder="1" applyAlignment="1" applyProtection="1">
      <alignment horizontal="center"/>
      <protection locked="0"/>
    </xf>
    <xf numFmtId="0" fontId="21" fillId="3" borderId="1" xfId="1" applyFont="1" applyFill="1" applyBorder="1"/>
    <xf numFmtId="0" fontId="3" fillId="3" borderId="54" xfId="0" applyFont="1" applyFill="1" applyBorder="1" applyAlignment="1" applyProtection="1">
      <alignment horizontal="center" vertical="center" wrapText="1"/>
    </xf>
    <xf numFmtId="0" fontId="21" fillId="3" borderId="1" xfId="1" applyFont="1" applyFill="1" applyBorder="1" applyAlignment="1">
      <alignment horizontal="center"/>
    </xf>
    <xf numFmtId="0" fontId="14" fillId="5" borderId="31" xfId="0" applyFont="1" applyFill="1" applyBorder="1" applyAlignment="1" applyProtection="1">
      <alignment horizontal="center" vertical="center" wrapText="1"/>
    </xf>
    <xf numFmtId="43" fontId="10" fillId="0" borderId="1" xfId="0" applyNumberFormat="1" applyFont="1"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3" fillId="0" borderId="47" xfId="0" applyFont="1" applyBorder="1" applyAlignment="1" applyProtection="1">
      <alignment horizontal="center" vertical="center"/>
      <protection locked="0"/>
    </xf>
    <xf numFmtId="0" fontId="3" fillId="5" borderId="31" xfId="0" applyFont="1" applyFill="1" applyBorder="1" applyAlignment="1" applyProtection="1">
      <alignment horizontal="center" vertical="center" wrapText="1"/>
    </xf>
    <xf numFmtId="0" fontId="3" fillId="0" borderId="35" xfId="0" applyFont="1" applyBorder="1" applyAlignment="1">
      <alignment horizontal="center"/>
    </xf>
    <xf numFmtId="0" fontId="27" fillId="0" borderId="0" xfId="1" applyFont="1" applyAlignment="1">
      <alignment wrapText="1"/>
    </xf>
    <xf numFmtId="0" fontId="26" fillId="0" borderId="15" xfId="1" applyFont="1" applyBorder="1" applyAlignment="1">
      <alignment horizontal="left"/>
    </xf>
    <xf numFmtId="0" fontId="14" fillId="0" borderId="37" xfId="0" applyFont="1" applyBorder="1" applyAlignment="1" applyProtection="1">
      <alignment horizontal="center" vertical="center"/>
      <protection locked="0"/>
    </xf>
    <xf numFmtId="0" fontId="15" fillId="3" borderId="43"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77"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10" borderId="7" xfId="0" applyFont="1" applyFill="1" applyBorder="1" applyAlignment="1">
      <alignment horizontal="center"/>
    </xf>
    <xf numFmtId="0" fontId="15" fillId="10" borderId="8" xfId="0" applyNumberFormat="1" applyFont="1" applyFill="1" applyBorder="1" applyAlignment="1">
      <alignment horizontal="center"/>
    </xf>
    <xf numFmtId="0" fontId="15" fillId="10" borderId="45" xfId="0" applyFont="1" applyFill="1" applyBorder="1" applyAlignment="1" applyProtection="1">
      <alignment horizontal="center" vertical="center" wrapText="1"/>
    </xf>
    <xf numFmtId="0" fontId="15" fillId="10" borderId="45" xfId="0" applyFont="1" applyFill="1" applyBorder="1" applyAlignment="1">
      <alignment horizontal="center"/>
    </xf>
    <xf numFmtId="0" fontId="15" fillId="10" borderId="11" xfId="0" applyNumberFormat="1" applyFont="1" applyFill="1" applyBorder="1" applyAlignment="1">
      <alignment horizontal="center"/>
    </xf>
    <xf numFmtId="0" fontId="3" fillId="5" borderId="1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7" xfId="0" applyFont="1" applyBorder="1" applyAlignment="1">
      <alignment horizontal="center"/>
    </xf>
    <xf numFmtId="0" fontId="3" fillId="10" borderId="41" xfId="0" applyFont="1" applyFill="1" applyBorder="1" applyAlignment="1" applyProtection="1">
      <alignment horizontal="center" vertical="center"/>
      <protection locked="0"/>
    </xf>
    <xf numFmtId="0" fontId="15" fillId="10" borderId="42" xfId="0" applyFont="1" applyFill="1" applyBorder="1" applyAlignment="1" applyProtection="1">
      <alignment horizontal="left" vertical="center"/>
      <protection locked="0"/>
    </xf>
    <xf numFmtId="0" fontId="15" fillId="10" borderId="43" xfId="0"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protection locked="0"/>
    </xf>
    <xf numFmtId="0" fontId="10" fillId="0" borderId="1" xfId="0" applyNumberFormat="1" applyFont="1" applyBorder="1" applyAlignment="1" applyProtection="1">
      <alignment horizontal="center" vertical="center"/>
    </xf>
    <xf numFmtId="0" fontId="3" fillId="0" borderId="1" xfId="0" applyFont="1" applyFill="1" applyBorder="1" applyAlignment="1">
      <alignment horizontal="center" wrapText="1"/>
    </xf>
    <xf numFmtId="0" fontId="3" fillId="0" borderId="45" xfId="0" applyFont="1" applyFill="1" applyBorder="1" applyAlignment="1">
      <alignment horizontal="center" wrapText="1"/>
    </xf>
    <xf numFmtId="0" fontId="3" fillId="0" borderId="6" xfId="0" applyFont="1" applyBorder="1" applyAlignment="1" applyProtection="1">
      <alignment horizontal="center" vertical="center"/>
      <protection locked="0"/>
    </xf>
    <xf numFmtId="0" fontId="3" fillId="3" borderId="30" xfId="1" applyFont="1" applyFill="1" applyBorder="1" applyAlignment="1">
      <alignment horizontal="left" vertical="center" wrapText="1"/>
    </xf>
    <xf numFmtId="0" fontId="3" fillId="8" borderId="1" xfId="1" applyFont="1" applyFill="1" applyBorder="1" applyAlignment="1" applyProtection="1">
      <alignment horizontal="center" wrapText="1"/>
    </xf>
    <xf numFmtId="0" fontId="3" fillId="3" borderId="35" xfId="0" applyFont="1" applyFill="1" applyBorder="1" applyAlignment="1" applyProtection="1">
      <alignment horizontal="center" vertical="center" wrapText="1"/>
    </xf>
    <xf numFmtId="0" fontId="2" fillId="0" borderId="4" xfId="1" applyFont="1" applyFill="1" applyBorder="1" applyAlignment="1" applyProtection="1">
      <alignment horizontal="center" wrapText="1"/>
    </xf>
    <xf numFmtId="0" fontId="14" fillId="0" borderId="4" xfId="1" applyFont="1" applyFill="1" applyBorder="1" applyAlignment="1" applyProtection="1">
      <alignment horizontal="center" wrapText="1"/>
    </xf>
    <xf numFmtId="0" fontId="14" fillId="0" borderId="5" xfId="1" applyFont="1" applyFill="1" applyBorder="1" applyAlignment="1" applyProtection="1">
      <alignment horizontal="center" wrapText="1"/>
    </xf>
    <xf numFmtId="0" fontId="16" fillId="0" borderId="56" xfId="0" applyFont="1" applyBorder="1" applyAlignment="1">
      <alignment horizontal="center"/>
    </xf>
    <xf numFmtId="0" fontId="16" fillId="0" borderId="51" xfId="0" applyFont="1" applyBorder="1" applyAlignment="1">
      <alignment horizontal="center"/>
    </xf>
    <xf numFmtId="0" fontId="16" fillId="0" borderId="57" xfId="0" applyFont="1" applyBorder="1" applyAlignment="1">
      <alignment horizontal="center"/>
    </xf>
    <xf numFmtId="0" fontId="22" fillId="0" borderId="55" xfId="4" applyFont="1" applyBorder="1" applyAlignment="1">
      <alignment horizontal="left"/>
    </xf>
    <xf numFmtId="0" fontId="16" fillId="0" borderId="54" xfId="0" applyFont="1" applyBorder="1" applyAlignment="1">
      <alignment horizontal="left"/>
    </xf>
    <xf numFmtId="0" fontId="3" fillId="0" borderId="69" xfId="0" applyFont="1" applyBorder="1" applyAlignment="1">
      <alignment horizontal="left" wrapText="1"/>
    </xf>
    <xf numFmtId="0" fontId="14" fillId="0" borderId="69" xfId="0" applyFont="1" applyBorder="1" applyAlignment="1">
      <alignment horizontal="left"/>
    </xf>
    <xf numFmtId="0" fontId="8" fillId="0" borderId="67" xfId="4" applyBorder="1" applyAlignment="1">
      <alignment horizontal="left"/>
    </xf>
    <xf numFmtId="0" fontId="14" fillId="0" borderId="67" xfId="0" applyFont="1" applyBorder="1" applyAlignment="1">
      <alignment horizontal="left" wrapText="1"/>
    </xf>
    <xf numFmtId="0" fontId="8" fillId="0" borderId="70" xfId="4" applyBorder="1" applyAlignment="1">
      <alignment horizontal="left"/>
    </xf>
    <xf numFmtId="0" fontId="8" fillId="0" borderId="49" xfId="4" applyBorder="1" applyAlignment="1">
      <alignment horizontal="left"/>
    </xf>
    <xf numFmtId="0" fontId="8" fillId="0" borderId="31" xfId="4" applyBorder="1" applyAlignment="1">
      <alignment horizontal="left"/>
    </xf>
    <xf numFmtId="0" fontId="14" fillId="0" borderId="69" xfId="0" applyFont="1" applyBorder="1" applyAlignment="1">
      <alignment horizontal="left" wrapText="1"/>
    </xf>
    <xf numFmtId="0" fontId="8" fillId="0" borderId="35" xfId="4" applyBorder="1" applyAlignment="1">
      <alignment horizontal="left"/>
    </xf>
    <xf numFmtId="0" fontId="14" fillId="0" borderId="1" xfId="0" applyFont="1" applyBorder="1" applyAlignment="1">
      <alignment horizontal="left"/>
    </xf>
    <xf numFmtId="0" fontId="14" fillId="0" borderId="9" xfId="0" applyFont="1" applyBorder="1" applyAlignment="1">
      <alignment horizontal="left"/>
    </xf>
    <xf numFmtId="0" fontId="14" fillId="0" borderId="45" xfId="0" applyFont="1" applyBorder="1" applyAlignment="1">
      <alignment horizontal="left"/>
    </xf>
    <xf numFmtId="0" fontId="14" fillId="0" borderId="11" xfId="0" applyFont="1" applyBorder="1" applyAlignment="1">
      <alignment horizontal="left"/>
    </xf>
    <xf numFmtId="0" fontId="3" fillId="0" borderId="4" xfId="1" applyFont="1" applyFill="1" applyBorder="1" applyAlignment="1" applyProtection="1">
      <alignment horizontal="center" wrapText="1"/>
    </xf>
    <xf numFmtId="0" fontId="3" fillId="0" borderId="5" xfId="1" applyFont="1" applyFill="1" applyBorder="1" applyAlignment="1" applyProtection="1">
      <alignment horizontal="center" wrapText="1"/>
    </xf>
    <xf numFmtId="0" fontId="20" fillId="7" borderId="0" xfId="1" applyFont="1" applyFill="1" applyBorder="1" applyAlignment="1" applyProtection="1">
      <alignment horizontal="center" vertical="center"/>
    </xf>
    <xf numFmtId="0" fontId="20" fillId="7" borderId="16" xfId="1" applyFont="1" applyFill="1" applyBorder="1" applyAlignment="1" applyProtection="1">
      <alignment horizontal="center" vertical="center"/>
    </xf>
    <xf numFmtId="0" fontId="3" fillId="0" borderId="60" xfId="0" applyFont="1" applyBorder="1" applyAlignment="1">
      <alignment horizontal="left" wrapText="1"/>
    </xf>
    <xf numFmtId="0" fontId="14" fillId="0" borderId="4" xfId="0" applyFont="1" applyBorder="1" applyAlignment="1">
      <alignment horizontal="left" wrapText="1"/>
    </xf>
    <xf numFmtId="0" fontId="14" fillId="0" borderId="5" xfId="0" applyFont="1" applyBorder="1" applyAlignment="1">
      <alignment horizontal="left" wrapText="1"/>
    </xf>
    <xf numFmtId="0" fontId="21" fillId="0" borderId="61" xfId="0" applyFont="1" applyFill="1" applyBorder="1" applyAlignment="1" applyProtection="1">
      <alignment horizontal="left" vertical="center" wrapText="1"/>
    </xf>
    <xf numFmtId="0" fontId="21" fillId="0" borderId="62" xfId="0" applyFont="1" applyFill="1" applyBorder="1" applyAlignment="1" applyProtection="1">
      <alignment horizontal="left" vertical="center" wrapText="1"/>
    </xf>
    <xf numFmtId="0" fontId="21" fillId="0" borderId="63" xfId="0" applyFont="1" applyFill="1" applyBorder="1" applyAlignment="1" applyProtection="1">
      <alignment horizontal="left" vertical="center" wrapText="1"/>
    </xf>
    <xf numFmtId="0" fontId="8" fillId="0" borderId="64" xfId="4" applyBorder="1" applyAlignment="1">
      <alignment horizontal="left"/>
    </xf>
    <xf numFmtId="0" fontId="8" fillId="0" borderId="50" xfId="4" applyBorder="1" applyAlignment="1">
      <alignment horizontal="left"/>
    </xf>
    <xf numFmtId="0" fontId="8" fillId="0" borderId="65" xfId="4" applyBorder="1" applyAlignment="1">
      <alignment horizontal="left"/>
    </xf>
    <xf numFmtId="0" fontId="21" fillId="0" borderId="66" xfId="0" applyFont="1" applyFill="1" applyBorder="1" applyAlignment="1" applyProtection="1">
      <alignment horizontal="left" vertical="center" wrapText="1"/>
    </xf>
    <xf numFmtId="0" fontId="21" fillId="0" borderId="67" xfId="0" applyFont="1" applyFill="1" applyBorder="1" applyAlignment="1" applyProtection="1">
      <alignment horizontal="left" vertical="center" wrapText="1"/>
    </xf>
    <xf numFmtId="0" fontId="21" fillId="0" borderId="68" xfId="0" applyFont="1" applyFill="1" applyBorder="1" applyAlignment="1" applyProtection="1">
      <alignment horizontal="left" vertical="center" wrapText="1"/>
    </xf>
    <xf numFmtId="0" fontId="8" fillId="0" borderId="66" xfId="4" applyBorder="1" applyAlignment="1">
      <alignment horizontal="left"/>
    </xf>
    <xf numFmtId="0" fontId="8" fillId="0" borderId="68" xfId="4" applyBorder="1" applyAlignment="1">
      <alignment horizontal="left"/>
    </xf>
    <xf numFmtId="0" fontId="21" fillId="0" borderId="64" xfId="4" applyFont="1" applyBorder="1" applyAlignment="1">
      <alignment horizontal="left"/>
    </xf>
    <xf numFmtId="0" fontId="21" fillId="0" borderId="50" xfId="4" applyFont="1" applyBorder="1" applyAlignment="1">
      <alignment horizontal="left"/>
    </xf>
    <xf numFmtId="0" fontId="21" fillId="0" borderId="65" xfId="4" applyFont="1" applyBorder="1" applyAlignment="1">
      <alignment horizontal="left"/>
    </xf>
    <xf numFmtId="0" fontId="8" fillId="0" borderId="23" xfId="4" applyBorder="1" applyAlignment="1">
      <alignment horizontal="left"/>
    </xf>
    <xf numFmtId="0" fontId="8" fillId="0" borderId="16" xfId="4" applyBorder="1" applyAlignment="1">
      <alignment horizontal="left"/>
    </xf>
    <xf numFmtId="0" fontId="8" fillId="0" borderId="24" xfId="4" applyBorder="1" applyAlignment="1">
      <alignment horizontal="left"/>
    </xf>
    <xf numFmtId="0" fontId="16" fillId="0" borderId="49" xfId="4" applyFont="1" applyBorder="1" applyAlignment="1">
      <alignment horizontal="left"/>
    </xf>
    <xf numFmtId="0" fontId="15" fillId="0" borderId="58" xfId="0" applyFont="1" applyFill="1" applyBorder="1" applyAlignment="1">
      <alignment horizontal="left" vertical="top"/>
    </xf>
    <xf numFmtId="0" fontId="15" fillId="0" borderId="71" xfId="0" applyFont="1" applyFill="1" applyBorder="1" applyAlignment="1">
      <alignment horizontal="left" vertical="top"/>
    </xf>
    <xf numFmtId="0" fontId="15" fillId="0" borderId="59" xfId="0" applyFont="1" applyFill="1" applyBorder="1" applyAlignment="1">
      <alignment horizontal="left" vertical="top"/>
    </xf>
    <xf numFmtId="0" fontId="14" fillId="0" borderId="72" xfId="0" applyFont="1" applyFill="1" applyBorder="1" applyAlignment="1">
      <alignment horizontal="left" vertical="top"/>
    </xf>
    <xf numFmtId="0" fontId="14" fillId="0" borderId="51" xfId="0" applyFont="1" applyFill="1" applyBorder="1" applyAlignment="1">
      <alignment horizontal="left" vertical="top"/>
    </xf>
    <xf numFmtId="0" fontId="14" fillId="0" borderId="53" xfId="0" applyFont="1" applyFill="1" applyBorder="1" applyAlignment="1">
      <alignment horizontal="left" vertical="top"/>
    </xf>
    <xf numFmtId="0" fontId="16" fillId="0" borderId="60" xfId="0" applyFont="1" applyBorder="1" applyAlignment="1">
      <alignment horizontal="left" wrapText="1"/>
    </xf>
    <xf numFmtId="0" fontId="16" fillId="0" borderId="4" xfId="0" applyFont="1" applyBorder="1" applyAlignment="1">
      <alignment horizontal="left" wrapText="1"/>
    </xf>
    <xf numFmtId="0" fontId="16" fillId="0" borderId="73" xfId="0" applyFont="1" applyBorder="1" applyAlignment="1">
      <alignment horizontal="left" wrapText="1"/>
    </xf>
    <xf numFmtId="0" fontId="16" fillId="0" borderId="14" xfId="0" applyFont="1" applyBorder="1" applyAlignment="1">
      <alignment horizontal="left"/>
    </xf>
    <xf numFmtId="0" fontId="16" fillId="0" borderId="26" xfId="0" applyFont="1" applyBorder="1" applyAlignment="1">
      <alignment horizontal="left"/>
    </xf>
    <xf numFmtId="0" fontId="16" fillId="0" borderId="19" xfId="1" applyFont="1" applyBorder="1" applyAlignment="1">
      <alignment horizontal="left" wrapText="1"/>
    </xf>
    <xf numFmtId="0" fontId="22" fillId="0" borderId="50" xfId="4" applyFont="1" applyFill="1" applyBorder="1" applyAlignment="1">
      <alignment horizontal="left" wrapText="1"/>
    </xf>
    <xf numFmtId="0" fontId="16" fillId="0" borderId="49" xfId="1" applyFont="1" applyBorder="1" applyAlignment="1">
      <alignment horizontal="center"/>
    </xf>
    <xf numFmtId="0" fontId="20" fillId="5" borderId="32" xfId="1" applyFont="1" applyFill="1" applyBorder="1" applyAlignment="1">
      <alignment horizontal="left" wrapText="1"/>
    </xf>
    <xf numFmtId="0" fontId="20" fillId="5" borderId="33" xfId="1" applyFont="1" applyFill="1" applyBorder="1" applyAlignment="1">
      <alignment horizontal="left" wrapText="1"/>
    </xf>
    <xf numFmtId="0" fontId="20" fillId="5" borderId="34" xfId="1" applyFont="1" applyFill="1" applyBorder="1" applyAlignment="1">
      <alignment horizontal="left" wrapText="1"/>
    </xf>
    <xf numFmtId="0" fontId="15" fillId="3" borderId="17" xfId="1" applyFont="1" applyFill="1" applyBorder="1" applyAlignment="1">
      <alignment horizontal="left" wrapText="1"/>
    </xf>
    <xf numFmtId="0" fontId="15" fillId="3" borderId="14" xfId="1" applyFont="1" applyFill="1" applyBorder="1" applyAlignment="1">
      <alignment horizontal="left" wrapText="1"/>
    </xf>
    <xf numFmtId="0" fontId="15" fillId="3" borderId="15" xfId="1" applyFont="1" applyFill="1" applyBorder="1" applyAlignment="1">
      <alignment horizontal="left" wrapText="1"/>
    </xf>
    <xf numFmtId="0" fontId="16" fillId="0" borderId="74" xfId="1" applyFont="1" applyBorder="1" applyAlignment="1">
      <alignment horizontal="left"/>
    </xf>
    <xf numFmtId="0" fontId="16" fillId="0" borderId="12" xfId="1" applyFont="1" applyBorder="1" applyAlignment="1">
      <alignment horizontal="left"/>
    </xf>
    <xf numFmtId="0" fontId="16" fillId="0" borderId="13" xfId="1" applyFont="1" applyBorder="1" applyAlignment="1">
      <alignment horizontal="left"/>
    </xf>
    <xf numFmtId="0" fontId="16" fillId="0" borderId="48" xfId="1" applyFont="1" applyBorder="1" applyAlignment="1">
      <alignment horizontal="left" wrapText="1"/>
    </xf>
    <xf numFmtId="0" fontId="16" fillId="0" borderId="14" xfId="1" applyFont="1" applyBorder="1" applyAlignment="1">
      <alignment horizontal="left" wrapText="1"/>
    </xf>
    <xf numFmtId="0" fontId="16" fillId="0" borderId="25" xfId="1" applyFont="1" applyBorder="1" applyAlignment="1">
      <alignment horizontal="left" wrapText="1"/>
    </xf>
    <xf numFmtId="0" fontId="16" fillId="0" borderId="75" xfId="1" applyFont="1" applyBorder="1" applyAlignment="1">
      <alignment horizontal="left" wrapText="1"/>
    </xf>
    <xf numFmtId="0" fontId="16" fillId="0" borderId="26" xfId="1" applyFont="1" applyBorder="1" applyAlignment="1">
      <alignment horizontal="left" wrapText="1"/>
    </xf>
    <xf numFmtId="0" fontId="16" fillId="0" borderId="27" xfId="1" applyFont="1" applyBorder="1" applyAlignment="1">
      <alignment horizontal="left" wrapText="1"/>
    </xf>
    <xf numFmtId="0" fontId="21" fillId="0" borderId="1" xfId="1" applyFont="1" applyBorder="1" applyAlignment="1">
      <alignment horizontal="left" wrapText="1"/>
    </xf>
    <xf numFmtId="0" fontId="21" fillId="0" borderId="1" xfId="1" applyFont="1" applyBorder="1" applyAlignment="1">
      <alignment horizontal="left"/>
    </xf>
    <xf numFmtId="0" fontId="20" fillId="5" borderId="32" xfId="1" applyFont="1" applyFill="1" applyBorder="1" applyAlignment="1">
      <alignment horizontal="center"/>
    </xf>
    <xf numFmtId="0" fontId="20" fillId="5" borderId="33" xfId="1" applyFont="1" applyFill="1" applyBorder="1" applyAlignment="1">
      <alignment horizontal="center"/>
    </xf>
    <xf numFmtId="0" fontId="20" fillId="5" borderId="34" xfId="1" applyFont="1" applyFill="1" applyBorder="1" applyAlignment="1">
      <alignment horizontal="center"/>
    </xf>
    <xf numFmtId="0" fontId="3" fillId="0" borderId="1" xfId="1" applyFont="1" applyBorder="1" applyAlignment="1">
      <alignment horizontal="left" wrapText="1"/>
    </xf>
    <xf numFmtId="0" fontId="3" fillId="0" borderId="1" xfId="1" applyFont="1" applyBorder="1" applyAlignment="1">
      <alignment horizontal="left"/>
    </xf>
    <xf numFmtId="0" fontId="15" fillId="3" borderId="28" xfId="1" applyFont="1" applyFill="1" applyBorder="1" applyAlignment="1">
      <alignment horizontal="left"/>
    </xf>
    <xf numFmtId="0" fontId="15" fillId="3" borderId="12" xfId="1" applyFont="1" applyFill="1" applyBorder="1" applyAlignment="1">
      <alignment horizontal="left"/>
    </xf>
    <xf numFmtId="0" fontId="15" fillId="3" borderId="41" xfId="1" applyFont="1" applyFill="1" applyBorder="1" applyAlignment="1">
      <alignment horizontal="left"/>
    </xf>
    <xf numFmtId="0" fontId="15" fillId="3" borderId="17" xfId="1" applyFont="1" applyFill="1" applyBorder="1" applyAlignment="1">
      <alignment horizontal="left" vertical="center" wrapText="1"/>
    </xf>
    <xf numFmtId="0" fontId="15" fillId="3" borderId="14" xfId="1" applyFont="1" applyFill="1" applyBorder="1" applyAlignment="1">
      <alignment horizontal="left" vertical="center" wrapText="1"/>
    </xf>
    <xf numFmtId="0" fontId="15" fillId="3" borderId="15" xfId="1" applyFont="1" applyFill="1" applyBorder="1" applyAlignment="1">
      <alignment horizontal="left" vertical="center" wrapText="1"/>
    </xf>
    <xf numFmtId="0" fontId="15" fillId="3" borderId="1" xfId="1" applyFont="1" applyFill="1" applyBorder="1" applyAlignment="1">
      <alignment horizontal="left" wrapText="1"/>
    </xf>
    <xf numFmtId="0" fontId="21" fillId="0" borderId="78" xfId="1" applyFont="1" applyBorder="1" applyAlignment="1">
      <alignment horizontal="left" wrapText="1"/>
    </xf>
    <xf numFmtId="0" fontId="21" fillId="0" borderId="16" xfId="1" applyFont="1" applyBorder="1" applyAlignment="1">
      <alignment horizontal="left"/>
    </xf>
    <xf numFmtId="0" fontId="30" fillId="0" borderId="16" xfId="0" applyFont="1" applyBorder="1" applyAlignment="1"/>
    <xf numFmtId="2" fontId="10" fillId="0" borderId="17" xfId="0" applyNumberFormat="1" applyFont="1" applyBorder="1" applyAlignment="1" applyProtection="1">
      <alignment horizontal="center" vertical="center"/>
    </xf>
    <xf numFmtId="2" fontId="10" fillId="0" borderId="14" xfId="0" applyNumberFormat="1" applyFont="1" applyBorder="1" applyAlignment="1" applyProtection="1">
      <alignment horizontal="center" vertical="center"/>
    </xf>
    <xf numFmtId="2" fontId="10" fillId="0" borderId="25" xfId="0" applyNumberFormat="1" applyFont="1" applyBorder="1" applyAlignment="1" applyProtection="1">
      <alignment horizontal="center" vertical="center"/>
    </xf>
    <xf numFmtId="0" fontId="22" fillId="0" borderId="52" xfId="4" applyFont="1" applyBorder="1" applyAlignment="1" applyProtection="1">
      <alignment horizontal="left" vertical="center"/>
    </xf>
    <xf numFmtId="0" fontId="13" fillId="0" borderId="50" xfId="0" applyFont="1" applyBorder="1" applyAlignment="1" applyProtection="1">
      <alignment horizontal="left" vertical="center"/>
    </xf>
    <xf numFmtId="0" fontId="16" fillId="0" borderId="0" xfId="0" applyFont="1" applyBorder="1" applyAlignment="1" applyProtection="1">
      <alignment horizontal="left" vertical="center"/>
    </xf>
    <xf numFmtId="0" fontId="20" fillId="7" borderId="3" xfId="0" applyFont="1" applyFill="1" applyBorder="1" applyAlignment="1" applyProtection="1">
      <alignment horizontal="center" vertical="center"/>
      <protection locked="0"/>
    </xf>
    <xf numFmtId="0" fontId="20" fillId="7" borderId="4" xfId="0" applyFont="1" applyFill="1" applyBorder="1" applyAlignment="1" applyProtection="1">
      <alignment horizontal="center" vertical="center"/>
      <protection locked="0"/>
    </xf>
    <xf numFmtId="0" fontId="20" fillId="7" borderId="5"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4" fontId="10" fillId="0" borderId="17" xfId="0" quotePrefix="1" applyNumberFormat="1" applyFont="1" applyFill="1" applyBorder="1" applyAlignment="1" applyProtection="1">
      <alignment horizontal="center" vertical="center"/>
    </xf>
    <xf numFmtId="4" fontId="10" fillId="0" borderId="14" xfId="0" applyNumberFormat="1" applyFont="1" applyFill="1" applyBorder="1" applyAlignment="1" applyProtection="1">
      <alignment horizontal="center" vertical="center"/>
    </xf>
    <xf numFmtId="4" fontId="10" fillId="0" borderId="25" xfId="0" applyNumberFormat="1" applyFont="1" applyFill="1" applyBorder="1" applyAlignment="1" applyProtection="1">
      <alignment horizontal="center" vertical="center"/>
    </xf>
    <xf numFmtId="2" fontId="11" fillId="9" borderId="29" xfId="0" applyNumberFormat="1" applyFont="1" applyFill="1" applyBorder="1" applyAlignment="1" applyProtection="1">
      <alignment horizontal="center" vertical="center"/>
    </xf>
    <xf numFmtId="2" fontId="11" fillId="9" borderId="26" xfId="0" applyNumberFormat="1" applyFont="1" applyFill="1" applyBorder="1" applyAlignment="1" applyProtection="1">
      <alignment horizontal="center" vertical="center"/>
    </xf>
    <xf numFmtId="2" fontId="11" fillId="9" borderId="27" xfId="0" applyNumberFormat="1" applyFont="1" applyFill="1" applyBorder="1" applyAlignment="1" applyProtection="1">
      <alignment horizontal="center" vertical="center"/>
    </xf>
    <xf numFmtId="2" fontId="11" fillId="9" borderId="28" xfId="0" applyNumberFormat="1" applyFont="1" applyFill="1" applyBorder="1" applyAlignment="1" applyProtection="1">
      <alignment horizontal="center" vertical="center"/>
    </xf>
    <xf numFmtId="2" fontId="11" fillId="9" borderId="12" xfId="0" applyNumberFormat="1" applyFont="1" applyFill="1" applyBorder="1" applyAlignment="1" applyProtection="1">
      <alignment horizontal="center" vertical="center"/>
    </xf>
    <xf numFmtId="2" fontId="11" fillId="9" borderId="13" xfId="0" applyNumberFormat="1" applyFont="1" applyFill="1" applyBorder="1" applyAlignment="1" applyProtection="1">
      <alignment horizontal="center" vertical="center"/>
    </xf>
    <xf numFmtId="2" fontId="10" fillId="0" borderId="29" xfId="0" applyNumberFormat="1" applyFont="1" applyFill="1" applyBorder="1" applyAlignment="1" applyProtection="1">
      <alignment horizontal="center" vertical="center"/>
    </xf>
    <xf numFmtId="2" fontId="10" fillId="0" borderId="26" xfId="0" applyNumberFormat="1" applyFont="1" applyFill="1" applyBorder="1" applyAlignment="1" applyProtection="1">
      <alignment horizontal="center" vertical="center"/>
    </xf>
    <xf numFmtId="2" fontId="10" fillId="0" borderId="27"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7"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25" xfId="1" applyFont="1" applyFill="1" applyBorder="1" applyAlignment="1" applyProtection="1">
      <alignment horizontal="center" vertical="center" wrapText="1"/>
    </xf>
    <xf numFmtId="165" fontId="10" fillId="0" borderId="17" xfId="0" applyNumberFormat="1" applyFont="1" applyFill="1" applyBorder="1" applyAlignment="1" applyProtection="1">
      <alignment horizontal="center" vertical="center"/>
    </xf>
    <xf numFmtId="165" fontId="10" fillId="0" borderId="14" xfId="0" applyNumberFormat="1" applyFont="1" applyFill="1" applyBorder="1" applyAlignment="1" applyProtection="1">
      <alignment horizontal="center" vertical="center"/>
    </xf>
    <xf numFmtId="165" fontId="10" fillId="0" borderId="25" xfId="0" applyNumberFormat="1" applyFont="1" applyFill="1" applyBorder="1" applyAlignment="1" applyProtection="1">
      <alignment horizontal="center" vertical="center"/>
    </xf>
    <xf numFmtId="165" fontId="10" fillId="0" borderId="17" xfId="0" applyNumberFormat="1" applyFont="1" applyBorder="1" applyAlignment="1" applyProtection="1">
      <alignment horizontal="center" vertical="center"/>
    </xf>
    <xf numFmtId="165" fontId="10" fillId="0" borderId="14" xfId="0" applyNumberFormat="1" applyFont="1" applyBorder="1" applyAlignment="1" applyProtection="1">
      <alignment horizontal="center" vertical="center"/>
    </xf>
    <xf numFmtId="165" fontId="10" fillId="0" borderId="25" xfId="0" applyNumberFormat="1"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25" xfId="0" applyFont="1"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50" xfId="0" applyFont="1" applyBorder="1" applyAlignment="1" applyProtection="1">
      <alignment horizontal="left" vertical="center"/>
    </xf>
    <xf numFmtId="0" fontId="22" fillId="0" borderId="52" xfId="4"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5" fillId="0" borderId="0" xfId="1" applyFont="1" applyAlignment="1">
      <alignment horizontal="center" wrapText="1"/>
    </xf>
    <xf numFmtId="0" fontId="5" fillId="0" borderId="0" xfId="1" applyFont="1" applyAlignment="1">
      <alignment horizontal="center"/>
    </xf>
    <xf numFmtId="0" fontId="4" fillId="0" borderId="0" xfId="1" applyAlignment="1">
      <alignment horizontal="center"/>
    </xf>
    <xf numFmtId="0" fontId="4" fillId="0" borderId="0" xfId="0" applyFont="1" applyBorder="1" applyAlignment="1">
      <alignment horizontal="center"/>
    </xf>
    <xf numFmtId="0" fontId="12" fillId="0" borderId="0" xfId="4" applyFont="1" applyAlignment="1">
      <alignment horizontal="center"/>
    </xf>
  </cellXfs>
  <cellStyles count="5">
    <cellStyle name="Comma" xfId="3" builtinId="3"/>
    <cellStyle name="Hyperlink" xfId="4" builtinId="8"/>
    <cellStyle name="Normal" xfId="0" builtinId="0"/>
    <cellStyle name="Normal 2" xfId="1" xr:uid="{00000000-0005-0000-0000-000003000000}"/>
    <cellStyle name="Normal 7" xfId="2" xr:uid="{00000000-0005-0000-0000-000004000000}"/>
  </cellStyles>
  <dxfs count="46">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tint="-0.14996795556505021"/>
        </patternFill>
      </fill>
    </dxf>
    <dxf>
      <font>
        <color auto="1"/>
      </font>
      <fill>
        <patternFill patternType="none">
          <bgColor auto="1"/>
        </patternFill>
      </fill>
    </dxf>
    <dxf>
      <font>
        <color auto="1"/>
      </font>
      <fill>
        <patternFill>
          <bgColor rgb="FFFFFFCC"/>
        </patternFill>
      </fill>
    </dxf>
    <dxf>
      <font>
        <strike val="0"/>
      </font>
      <fill>
        <patternFill>
          <bgColor rgb="FFFFFF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q4afesvr1\AAFS\everyone\APD%20Sections\Rule%20Registrations%20Section\Team%202\John%20Ma\O&amp;G%20Storage%20Tanks\JMa%20Tank%20Calculations%20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nnual Tank Losses"/>
      <sheetName val="Short-Term Tank Losses"/>
      <sheetName val="ST Fixed Tank Loss"/>
      <sheetName val="ST Floating Tank Loss"/>
      <sheetName val="Hidden Calculations"/>
      <sheetName val="Vapor Factors"/>
      <sheetName val="Hidden Data"/>
      <sheetName val="Final Emissions"/>
      <sheetName val="Tank Information"/>
      <sheetName val="Calculated Emission Totals"/>
      <sheetName val="Equation Glossary"/>
      <sheetName val="AP-42 Met. Data"/>
    </sheetNames>
    <sheetDataSet>
      <sheetData sheetId="0"/>
      <sheetData sheetId="1" refreshError="1"/>
      <sheetData sheetId="2" refreshError="1"/>
      <sheetData sheetId="3"/>
      <sheetData sheetId="4"/>
      <sheetData sheetId="5"/>
      <sheetData sheetId="6"/>
      <sheetData sheetId="7">
        <row r="4">
          <cell r="D4">
            <v>0.44</v>
          </cell>
        </row>
        <row r="5">
          <cell r="D5">
            <v>0.64</v>
          </cell>
        </row>
        <row r="6">
          <cell r="D6">
            <v>0.12</v>
          </cell>
        </row>
        <row r="7">
          <cell r="D7">
            <v>0.42</v>
          </cell>
        </row>
        <row r="8">
          <cell r="D8">
            <v>0.97</v>
          </cell>
        </row>
        <row r="9">
          <cell r="D9">
            <v>0.62</v>
          </cell>
        </row>
      </sheetData>
      <sheetData sheetId="8" refreshError="1"/>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John-Paul Lalonde" id="{DA78EBA3-7A39-4051-B611-553015076C1A}" userId="S::John-Paul.Lalonde@tceq.texas.gov::7cf7ef72-4a0b-4f7a-8583-2145672f2f2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7" dT="2021-05-13T14:30:15.56" personId="{DA78EBA3-7A39-4051-B611-553015076C1A}" id="{5FDC25B6-28C9-4342-9D08-082A41632E64}">
    <text>update number</text>
  </threadedComment>
  <threadedComment ref="A48" dT="2021-05-13T14:30:22.84" personId="{DA78EBA3-7A39-4051-B611-553015076C1A}" id="{6E8ECB7B-DCA4-4DA3-8A79-7183B97B9122}">
    <text>update number</text>
  </threadedComment>
</ThreadedComments>
</file>

<file path=xl/threadedComments/threadedComment2.xml><?xml version="1.0" encoding="utf-8"?>
<ThreadedComments xmlns="http://schemas.microsoft.com/office/spreadsheetml/2018/threadedcomments" xmlns:x="http://schemas.openxmlformats.org/spreadsheetml/2006/main">
  <threadedComment ref="U2" dT="2021-05-13T17:44:18.69" personId="{DA78EBA3-7A39-4051-B611-553015076C1A}" id="{807B2D61-120A-41C3-B7EE-D04917217ECA}">
    <text>added for Antoine Referecne and selection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tceq.texas.gov/assets/public/permitting/air/Guidance/NewSourceReview/emissrates-tanks6250.pdf" TargetMode="External"/><Relationship Id="rId13" Type="http://schemas.openxmlformats.org/officeDocument/2006/relationships/hyperlink" Target="https://www3.tceq.texas.gov/steers/" TargetMode="External"/><Relationship Id="rId3" Type="http://schemas.openxmlformats.org/officeDocument/2006/relationships/hyperlink" Target="https://www3.tceq.texas.gov/steers/" TargetMode="External"/><Relationship Id="rId7" Type="http://schemas.openxmlformats.org/officeDocument/2006/relationships/hyperlink" Target="../AppData/Local/Microsoft/Windows/INetCache/Content.Outlook/4OLQ8KAD/Link%20to%20EPA%20Chapter%207%20Reference" TargetMode="External"/><Relationship Id="rId12" Type="http://schemas.openxmlformats.org/officeDocument/2006/relationships/hyperlink" Target="https://texreg.sos.state.tx.us/public/readtac$ext.ViewTAC?tac_view=5&amp;ti=30&amp;pt=1&amp;ch=116&amp;sch=F&amp;rl=Y" TargetMode="External"/><Relationship Id="rId2" Type="http://schemas.openxmlformats.org/officeDocument/2006/relationships/hyperlink" Target="https://texreg.sos.state.tx.us/public/readtac$ext.ViewTAC?tac_view=5&amp;ti=30&amp;pt=1&amp;ch=106&amp;sch=O&amp;rl=Y" TargetMode="External"/><Relationship Id="rId1" Type="http://schemas.openxmlformats.org/officeDocument/2006/relationships/hyperlink" Target="https://texreg.sos.state.tx.us/public/readtac$ext.ViewTAC?tac_view=5&amp;ti=30&amp;pt=1&amp;ch=116&amp;sch=F&amp;rl=Y" TargetMode="External"/><Relationship Id="rId6" Type="http://schemas.openxmlformats.org/officeDocument/2006/relationships/hyperlink" Target="https://www3.epa.gov/ttn/chief/ap42/ch07/final/c07s01.pdf" TargetMode="External"/><Relationship Id="rId11" Type="http://schemas.openxmlformats.org/officeDocument/2006/relationships/hyperlink" Target="https://texreg.sos.state.tx.us/public/readtac$ext.ViewTAC?tac_view=5&amp;ti=30&amp;pt=1&amp;ch=106&amp;sch=O&amp;rl=Y" TargetMode="External"/><Relationship Id="rId5" Type="http://schemas.openxmlformats.org/officeDocument/2006/relationships/hyperlink" Target="https://www.tceq.texas.gov/assets/public/permitting/air/Guidance/NewSourceReview/emissrates-tanks6250.pdf" TargetMode="External"/><Relationship Id="rId15" Type="http://schemas.openxmlformats.org/officeDocument/2006/relationships/printerSettings" Target="../printerSettings/printerSettings1.bin"/><Relationship Id="rId10" Type="http://schemas.openxmlformats.org/officeDocument/2006/relationships/hyperlink" Target="https://www.tceq.texas.gov/assets/public/permitting/air/Announcements/oilgas-sp.pdf" TargetMode="External"/><Relationship Id="rId4" Type="http://schemas.openxmlformats.org/officeDocument/2006/relationships/hyperlink" Target="https://www.tceq.texas.gov/permitting/air/confidential.html" TargetMode="External"/><Relationship Id="rId9" Type="http://schemas.openxmlformats.org/officeDocument/2006/relationships/hyperlink" Target="https://www.tceq.texas.gov/assets/public/permitting/air/NewSourceReview/oilgas/og-adopkg-2012.pdf" TargetMode="External"/><Relationship Id="rId14" Type="http://schemas.openxmlformats.org/officeDocument/2006/relationships/hyperlink" Target="https://www.tceq.texas.gov/permitting/air/confidential.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ncdc.noaa.gov/ghcn/comparative-climatic-data" TargetMode="External"/><Relationship Id="rId2" Type="http://schemas.openxmlformats.org/officeDocument/2006/relationships/hyperlink" Target="https://www.ncdc.noaa.gov/ghcn/comparative-climatic-data" TargetMode="External"/><Relationship Id="rId1" Type="http://schemas.openxmlformats.org/officeDocument/2006/relationships/hyperlink" Target="https://www.nrel.gov/gis/solar.html" TargetMode="External"/><Relationship Id="rId5" Type="http://schemas.openxmlformats.org/officeDocument/2006/relationships/printerSettings" Target="../printerSettings/printerSettings7.bin"/><Relationship Id="rId4" Type="http://schemas.openxmlformats.org/officeDocument/2006/relationships/hyperlink" Target="https://www.ncdc.noaa.gov/ghcn/comparative-climatic-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XFC35"/>
  <sheetViews>
    <sheetView showGridLines="0" tabSelected="1" zoomScale="115" zoomScaleNormal="115" workbookViewId="0">
      <selection activeCell="A3" sqref="A3:C3"/>
    </sheetView>
  </sheetViews>
  <sheetFormatPr defaultColWidth="0" defaultRowHeight="14.25" zeroHeight="1" x14ac:dyDescent="0.2"/>
  <cols>
    <col min="1" max="2" width="33.5703125" style="84" customWidth="1"/>
    <col min="3" max="3" width="31.7109375" style="84" customWidth="1"/>
    <col min="4" max="7" width="14" style="84" hidden="1" customWidth="1"/>
    <col min="8" max="16383" width="9.140625" style="84" hidden="1"/>
    <col min="16384" max="16384" width="1.42578125" style="84" hidden="1" customWidth="1"/>
  </cols>
  <sheetData>
    <row r="1" spans="1:3" ht="3" customHeight="1" thickBot="1" x14ac:dyDescent="0.25">
      <c r="A1" s="268" t="s">
        <v>382</v>
      </c>
      <c r="B1" s="268"/>
      <c r="C1" s="268"/>
    </row>
    <row r="2" spans="1:3" s="122" customFormat="1" ht="15.75" thickBot="1" x14ac:dyDescent="0.3">
      <c r="A2" s="269"/>
      <c r="B2" s="269"/>
      <c r="C2" s="269"/>
    </row>
    <row r="3" spans="1:3" s="140" customFormat="1" ht="15.75" thickBot="1" x14ac:dyDescent="0.3">
      <c r="A3" s="245" t="s">
        <v>419</v>
      </c>
      <c r="B3" s="246"/>
      <c r="C3" s="247"/>
    </row>
    <row r="4" spans="1:3" s="140" customFormat="1" ht="15.75" thickBot="1" x14ac:dyDescent="0.3">
      <c r="A4" s="266" t="s">
        <v>418</v>
      </c>
      <c r="B4" s="266"/>
      <c r="C4" s="267"/>
    </row>
    <row r="5" spans="1:3" ht="175.5" customHeight="1" thickBot="1" x14ac:dyDescent="0.25">
      <c r="A5" s="270" t="s">
        <v>405</v>
      </c>
      <c r="B5" s="271"/>
      <c r="C5" s="272"/>
    </row>
    <row r="6" spans="1:3" ht="15" thickBot="1" x14ac:dyDescent="0.25">
      <c r="A6" s="297" t="s">
        <v>346</v>
      </c>
      <c r="B6" s="298"/>
      <c r="C6" s="299"/>
    </row>
    <row r="7" spans="1:3" x14ac:dyDescent="0.2">
      <c r="A7" s="273" t="s">
        <v>345</v>
      </c>
      <c r="B7" s="274"/>
      <c r="C7" s="275"/>
    </row>
    <row r="8" spans="1:3" ht="15" x14ac:dyDescent="0.25">
      <c r="A8" s="276" t="s">
        <v>308</v>
      </c>
      <c r="B8" s="277"/>
      <c r="C8" s="278"/>
    </row>
    <row r="9" spans="1:3" x14ac:dyDescent="0.2">
      <c r="A9" s="279" t="s">
        <v>306</v>
      </c>
      <c r="B9" s="280"/>
      <c r="C9" s="281"/>
    </row>
    <row r="10" spans="1:3" ht="15" x14ac:dyDescent="0.25">
      <c r="A10" s="282" t="s">
        <v>307</v>
      </c>
      <c r="B10" s="255"/>
      <c r="C10" s="283"/>
    </row>
    <row r="11" spans="1:3" x14ac:dyDescent="0.2">
      <c r="A11" s="284" t="s">
        <v>313</v>
      </c>
      <c r="B11" s="285"/>
      <c r="C11" s="286"/>
    </row>
    <row r="12" spans="1:3" customFormat="1" ht="15.75" thickBot="1" x14ac:dyDescent="0.3">
      <c r="A12" s="287" t="s">
        <v>326</v>
      </c>
      <c r="B12" s="288"/>
      <c r="C12" s="289"/>
    </row>
    <row r="13" spans="1:3" customFormat="1" ht="15" x14ac:dyDescent="0.25">
      <c r="A13" s="290" t="s">
        <v>346</v>
      </c>
      <c r="B13" s="290"/>
      <c r="C13" s="290"/>
    </row>
    <row r="14" spans="1:3" ht="41.25" customHeight="1" x14ac:dyDescent="0.2">
      <c r="A14" s="253" t="s">
        <v>406</v>
      </c>
      <c r="B14" s="254"/>
      <c r="C14" s="254"/>
    </row>
    <row r="15" spans="1:3" ht="15" x14ac:dyDescent="0.25">
      <c r="A15" s="255" t="s">
        <v>310</v>
      </c>
      <c r="B15" s="255"/>
      <c r="C15" s="255"/>
    </row>
    <row r="16" spans="1:3" ht="72.75" customHeight="1" x14ac:dyDescent="0.2">
      <c r="A16" s="256" t="s">
        <v>311</v>
      </c>
      <c r="B16" s="256"/>
      <c r="C16" s="256"/>
    </row>
    <row r="17" spans="1:7" ht="15" x14ac:dyDescent="0.25">
      <c r="A17" s="257" t="s">
        <v>312</v>
      </c>
      <c r="B17" s="258"/>
      <c r="C17" s="259"/>
    </row>
    <row r="18" spans="1:7" x14ac:dyDescent="0.2">
      <c r="A18" s="300" t="s">
        <v>346</v>
      </c>
      <c r="B18" s="300"/>
      <c r="C18" s="300"/>
    </row>
    <row r="19" spans="1:7" ht="29.25" customHeight="1" x14ac:dyDescent="0.2">
      <c r="A19" s="260" t="s">
        <v>371</v>
      </c>
      <c r="B19" s="260"/>
      <c r="C19" s="260"/>
    </row>
    <row r="20" spans="1:7" ht="15" x14ac:dyDescent="0.25">
      <c r="A20" s="255" t="s">
        <v>370</v>
      </c>
      <c r="B20" s="255"/>
      <c r="C20" s="255"/>
    </row>
    <row r="21" spans="1:7" ht="15" x14ac:dyDescent="0.25">
      <c r="A21" s="261" t="s">
        <v>372</v>
      </c>
      <c r="B21" s="261"/>
      <c r="C21" s="261"/>
    </row>
    <row r="22" spans="1:7" ht="15" thickBot="1" x14ac:dyDescent="0.25">
      <c r="A22" s="301" t="s">
        <v>346</v>
      </c>
      <c r="B22" s="301"/>
      <c r="C22" s="301"/>
    </row>
    <row r="23" spans="1:7" ht="15" x14ac:dyDescent="0.2">
      <c r="A23" s="291" t="s">
        <v>293</v>
      </c>
      <c r="B23" s="292"/>
      <c r="C23" s="293"/>
    </row>
    <row r="24" spans="1:7" x14ac:dyDescent="0.2">
      <c r="A24" s="294" t="s">
        <v>305</v>
      </c>
      <c r="B24" s="295"/>
      <c r="C24" s="296"/>
    </row>
    <row r="25" spans="1:7" x14ac:dyDescent="0.2">
      <c r="A25" s="131" t="s">
        <v>294</v>
      </c>
      <c r="B25" s="262" t="s">
        <v>296</v>
      </c>
      <c r="C25" s="263"/>
    </row>
    <row r="26" spans="1:7" x14ac:dyDescent="0.2">
      <c r="A26" s="131" t="s">
        <v>292</v>
      </c>
      <c r="B26" s="262" t="s">
        <v>297</v>
      </c>
      <c r="C26" s="263"/>
    </row>
    <row r="27" spans="1:7" x14ac:dyDescent="0.2">
      <c r="A27" s="131" t="s">
        <v>291</v>
      </c>
      <c r="B27" s="262" t="s">
        <v>298</v>
      </c>
      <c r="C27" s="263"/>
    </row>
    <row r="28" spans="1:7" ht="15.75" customHeight="1" thickBot="1" x14ac:dyDescent="0.25">
      <c r="A28" s="132" t="s">
        <v>295</v>
      </c>
      <c r="B28" s="264" t="s">
        <v>299</v>
      </c>
      <c r="C28" s="265"/>
    </row>
    <row r="29" spans="1:7" x14ac:dyDescent="0.2">
      <c r="A29" s="252" t="s">
        <v>346</v>
      </c>
      <c r="B29" s="252"/>
      <c r="C29" s="252"/>
    </row>
    <row r="30" spans="1:7" x14ac:dyDescent="0.2">
      <c r="A30" s="251" t="s">
        <v>300</v>
      </c>
      <c r="B30" s="251"/>
      <c r="C30" s="251"/>
      <c r="D30" s="121"/>
      <c r="E30" s="121"/>
      <c r="F30" s="121"/>
      <c r="G30" s="121"/>
    </row>
    <row r="31" spans="1:7" x14ac:dyDescent="0.2">
      <c r="A31" s="248" t="s">
        <v>309</v>
      </c>
      <c r="B31" s="249"/>
      <c r="C31" s="250"/>
    </row>
    <row r="32" spans="1:7" hidden="1" x14ac:dyDescent="0.2">
      <c r="A32" s="123"/>
    </row>
    <row r="33" hidden="1" x14ac:dyDescent="0.2"/>
    <row r="34" hidden="1" x14ac:dyDescent="0.2"/>
    <row r="35" hidden="1" x14ac:dyDescent="0.2"/>
  </sheetData>
  <sheetProtection algorithmName="SHA-512" hashValue="5grJLR6oIJ46iJqyVGkJfelJm4E6eGu1bC+Uy5/xpZwT0VIeegJCBWq9htM+NPb6FVjg0IZarA6kCK44bCUnMg==" saltValue="T3yV/VMOaLKLCm456qp3AA==" spinCount="100000" sheet="1" objects="1" scenarios="1" formatColumns="0" formatRows="0"/>
  <mergeCells count="30">
    <mergeCell ref="A1:C2"/>
    <mergeCell ref="B25:C25"/>
    <mergeCell ref="B26:C26"/>
    <mergeCell ref="A5:C5"/>
    <mergeCell ref="A7:C7"/>
    <mergeCell ref="A8:C8"/>
    <mergeCell ref="A9:C9"/>
    <mergeCell ref="A10:C10"/>
    <mergeCell ref="A11:C11"/>
    <mergeCell ref="A12:C12"/>
    <mergeCell ref="A13:C13"/>
    <mergeCell ref="A23:C23"/>
    <mergeCell ref="A24:C24"/>
    <mergeCell ref="A6:C6"/>
    <mergeCell ref="A18:C18"/>
    <mergeCell ref="A22:C22"/>
    <mergeCell ref="A3:C3"/>
    <mergeCell ref="A31:C31"/>
    <mergeCell ref="A30:C30"/>
    <mergeCell ref="A29:C29"/>
    <mergeCell ref="A14:C14"/>
    <mergeCell ref="A15:C15"/>
    <mergeCell ref="A16:C16"/>
    <mergeCell ref="A17:C17"/>
    <mergeCell ref="A19:C19"/>
    <mergeCell ref="A20:C20"/>
    <mergeCell ref="A21:C21"/>
    <mergeCell ref="B27:C27"/>
    <mergeCell ref="B28:C28"/>
    <mergeCell ref="A4:C4"/>
  </mergeCells>
  <hyperlinks>
    <hyperlink ref="A25" location="Cover!A1" display="Cover" xr:uid="{00000000-0004-0000-0000-000000000000}"/>
    <hyperlink ref="A26" location="'Tank Information'!A1" display="Tank Information" xr:uid="{00000000-0004-0000-0000-000001000000}"/>
    <hyperlink ref="A27" location="'Calculated Emission Totals'!A1" display="Calculated Emission Totals" xr:uid="{00000000-0004-0000-0000-000002000000}"/>
    <hyperlink ref="A28" location="'Equation Glossary'!A1" display="Equation Glossary" xr:uid="{00000000-0004-0000-0000-000003000000}"/>
    <hyperlink ref="A10" r:id="rId1" xr:uid="{00000000-0004-0000-0000-000004000000}"/>
    <hyperlink ref="A8" r:id="rId2" xr:uid="{00000000-0004-0000-0000-000005000000}"/>
    <hyperlink ref="A15" r:id="rId3" xr:uid="{00000000-0004-0000-0000-000006000000}"/>
    <hyperlink ref="A17" r:id="rId4" xr:uid="{00000000-0004-0000-0000-000007000000}"/>
    <hyperlink ref="A21" r:id="rId5" display="https://www.tceq.texas.gov/assets/public/permitting/air/Guidance/NewSourceReview/emissrates-tanks6250.pdf" xr:uid="{00000000-0004-0000-0000-000008000000}"/>
    <hyperlink ref="A20" r:id="rId6" display="https://www3.epa.gov/ttn/chief/ap42/ch07/final/c07s01.pdf" xr:uid="{00000000-0004-0000-0000-000009000000}"/>
    <hyperlink ref="A20:C20" r:id="rId7" display="EPA AP-42 Chapter 7.1 (June 2020)" xr:uid="{00000000-0004-0000-0000-00000A000000}"/>
    <hyperlink ref="A21:C21" r:id="rId8" tooltip="Link to TCEQ Short Term Fixed Roof Tank Guidance" display="TCEQ APDG 6250v3 (February 2020)" xr:uid="{00000000-0004-0000-0000-00000B000000}"/>
    <hyperlink ref="A12" r:id="rId9" display="https://www.tceq.texas.gov/assets/public/permitting/air/NewSourceReview/oilgas/og-adopkg-2012.pdf" xr:uid="{00000000-0004-0000-0000-00000C000000}"/>
    <hyperlink ref="A30:C30" location="'Tank Information'!A1" display="Click here to go to the Tank Information sheet." xr:uid="{00000000-0004-0000-0000-00000D000000}"/>
    <hyperlink ref="A12:C12" r:id="rId10" tooltip="Rule languge for Oil and Gas Non-Rule Standard Permit" display="https://www.tceq.texas.gov/assets/public/permitting/air/Announcements/oilgas-sp.pdf" xr:uid="{00000000-0004-0000-0000-00000E000000}"/>
    <hyperlink ref="A8:C8" r:id="rId11" tooltip="Rule language for §106.352" display="https://texreg.sos.state.tx.us/public/readtac$ext.ViewTAC?tac_view=5&amp;ti=30&amp;pt=1&amp;ch=106&amp;sch=O&amp;rl=Y" xr:uid="{2EDDA998-C7F7-48A3-94BF-BEEF6FC4D68D}"/>
    <hyperlink ref="A10:C10" r:id="rId12" tooltip="Rule language for §116.620" display="https://texreg.sos.state.tx.us/public/readtac$ext.ViewTAC?tac_view=5&amp;ti=30&amp;pt=1&amp;ch=116&amp;sch=F&amp;rl=Y" xr:uid="{1EC95C33-D4CD-4130-922B-D17863CF7AB8}"/>
    <hyperlink ref="A15:C15" r:id="rId13" tooltip="Link to STEERS website" display="https://www3.tceq.texas.gov/steers/" xr:uid="{22D45377-0072-4C61-8E9F-EDAC49B11D11}"/>
    <hyperlink ref="A17:C17" r:id="rId14" tooltip="Link to confidential guidance" display="https://www.tceq.texas.gov/permitting/air/confidential.html" xr:uid="{E6A4A6D4-14E5-4B30-B576-EC73F283CE3D}"/>
  </hyperlinks>
  <printOptions horizontalCentered="1" gridLines="1"/>
  <pageMargins left="0.25" right="0.25" top="1" bottom="0.75" header="0.3" footer="0.3"/>
  <pageSetup orientation="portrait" r:id="rId15"/>
  <headerFooter>
    <oddHeader>&amp;C&amp;"Arial,Bold"Texas Commission on Environmental Quality
Fixed Roof Storage Tank Workbook
Cover&amp;R&amp;D</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AD0F-6FCE-4591-92D5-42D60A2FC744}">
  <sheetPr codeName="Sheet2">
    <tabColor rgb="FF92D050"/>
  </sheetPr>
  <dimension ref="A1:XFC102"/>
  <sheetViews>
    <sheetView showGridLines="0" zoomScaleNormal="100" zoomScaleSheetLayoutView="50" workbookViewId="0">
      <selection sqref="A1:D1"/>
    </sheetView>
  </sheetViews>
  <sheetFormatPr defaultColWidth="0" defaultRowHeight="14.25" zeroHeight="1" x14ac:dyDescent="0.2"/>
  <cols>
    <col min="1" max="1" width="32.140625" style="144" customWidth="1"/>
    <col min="2" max="2" width="19.5703125" style="146" bestFit="1" customWidth="1"/>
    <col min="3" max="3" width="23.140625" style="146" customWidth="1"/>
    <col min="4" max="4" width="21.42578125" style="145" customWidth="1"/>
    <col min="5" max="5" width="9.140625" style="144" hidden="1" customWidth="1"/>
    <col min="6" max="16383" width="9.140625" style="144" hidden="1"/>
    <col min="16384" max="16384" width="0.140625" style="144" hidden="1" customWidth="1"/>
  </cols>
  <sheetData>
    <row r="1" spans="1:4" ht="18.75" thickBot="1" x14ac:dyDescent="0.3">
      <c r="A1" s="322" t="s">
        <v>292</v>
      </c>
      <c r="B1" s="323"/>
      <c r="C1" s="323"/>
      <c r="D1" s="324"/>
    </row>
    <row r="2" spans="1:4" ht="102" customHeight="1" thickBot="1" x14ac:dyDescent="0.25">
      <c r="A2" s="325" t="s">
        <v>381</v>
      </c>
      <c r="B2" s="326"/>
      <c r="C2" s="326"/>
      <c r="D2" s="326"/>
    </row>
    <row r="3" spans="1:4" ht="15.75" thickBot="1" x14ac:dyDescent="0.3">
      <c r="A3" s="57" t="s">
        <v>65</v>
      </c>
      <c r="B3" s="204" t="s">
        <v>66</v>
      </c>
      <c r="C3" s="204" t="s">
        <v>67</v>
      </c>
      <c r="D3" s="203" t="s">
        <v>72</v>
      </c>
    </row>
    <row r="4" spans="1:4" x14ac:dyDescent="0.2">
      <c r="A4" s="180" t="s">
        <v>77</v>
      </c>
      <c r="B4" s="179" t="s">
        <v>159</v>
      </c>
      <c r="C4" s="202"/>
      <c r="D4" s="178" t="s">
        <v>74</v>
      </c>
    </row>
    <row r="5" spans="1:4" x14ac:dyDescent="0.2">
      <c r="A5" s="180" t="s">
        <v>181</v>
      </c>
      <c r="B5" s="200" t="s">
        <v>159</v>
      </c>
      <c r="C5" s="197"/>
      <c r="D5" s="178" t="s">
        <v>74</v>
      </c>
    </row>
    <row r="6" spans="1:4" x14ac:dyDescent="0.2">
      <c r="A6" s="180" t="s">
        <v>182</v>
      </c>
      <c r="B6" s="200" t="s">
        <v>159</v>
      </c>
      <c r="C6" s="197"/>
      <c r="D6" s="178" t="s">
        <v>74</v>
      </c>
    </row>
    <row r="7" spans="1:4" x14ac:dyDescent="0.2">
      <c r="A7" s="180" t="s">
        <v>70</v>
      </c>
      <c r="B7" s="200" t="s">
        <v>159</v>
      </c>
      <c r="C7" s="197"/>
      <c r="D7" s="178" t="s">
        <v>74</v>
      </c>
    </row>
    <row r="8" spans="1:4" x14ac:dyDescent="0.2">
      <c r="A8" s="180" t="s">
        <v>322</v>
      </c>
      <c r="B8" s="200" t="s">
        <v>159</v>
      </c>
      <c r="C8" s="201"/>
      <c r="D8" s="178" t="s">
        <v>74</v>
      </c>
    </row>
    <row r="9" spans="1:4" ht="15" thickBot="1" x14ac:dyDescent="0.25">
      <c r="A9" s="180" t="s">
        <v>134</v>
      </c>
      <c r="B9" s="200" t="str">
        <f>_xlfn.IFNA(HLOOKUP(A9,'AP-42 Met. Data'!$A89:$N109,MATCH(C8,'AP-42 Met. Data'!A89:$A109,0),FALSE),"No City Selected")</f>
        <v>No City Selected</v>
      </c>
      <c r="C9" s="205"/>
      <c r="D9" s="178" t="s">
        <v>173</v>
      </c>
    </row>
    <row r="10" spans="1:4" ht="15" x14ac:dyDescent="0.25">
      <c r="A10" s="327" t="s">
        <v>69</v>
      </c>
      <c r="B10" s="328"/>
      <c r="C10" s="328"/>
      <c r="D10" s="329"/>
    </row>
    <row r="11" spans="1:4" x14ac:dyDescent="0.2">
      <c r="A11" s="199" t="s">
        <v>379</v>
      </c>
      <c r="B11" s="198" t="s">
        <v>159</v>
      </c>
      <c r="C11" s="197"/>
      <c r="D11" s="188" t="s">
        <v>74</v>
      </c>
    </row>
    <row r="12" spans="1:4" x14ac:dyDescent="0.2">
      <c r="A12" s="210" t="s">
        <v>386</v>
      </c>
      <c r="B12" s="198" t="s">
        <v>159</v>
      </c>
      <c r="C12" s="197"/>
      <c r="D12" s="188" t="s">
        <v>74</v>
      </c>
    </row>
    <row r="13" spans="1:4" hidden="1" x14ac:dyDescent="0.2">
      <c r="A13" s="208" t="s">
        <v>385</v>
      </c>
      <c r="B13" s="198" t="s">
        <v>159</v>
      </c>
      <c r="C13" s="209"/>
      <c r="D13" s="220" t="s">
        <v>395</v>
      </c>
    </row>
    <row r="14" spans="1:4" x14ac:dyDescent="0.2">
      <c r="A14" s="199" t="s">
        <v>71</v>
      </c>
      <c r="B14" s="198" t="s">
        <v>159</v>
      </c>
      <c r="C14" s="197"/>
      <c r="D14" s="188" t="s">
        <v>76</v>
      </c>
    </row>
    <row r="15" spans="1:4" x14ac:dyDescent="0.2">
      <c r="A15" s="180" t="s">
        <v>194</v>
      </c>
      <c r="B15" s="194" t="s">
        <v>159</v>
      </c>
      <c r="C15" s="197"/>
      <c r="D15" s="188" t="s">
        <v>76</v>
      </c>
    </row>
    <row r="16" spans="1:4" x14ac:dyDescent="0.2">
      <c r="A16" s="180" t="s">
        <v>374</v>
      </c>
      <c r="B16" s="194">
        <f>C15/2</f>
        <v>0</v>
      </c>
      <c r="C16" s="205"/>
      <c r="D16" s="188" t="s">
        <v>76</v>
      </c>
    </row>
    <row r="17" spans="1:4" x14ac:dyDescent="0.2">
      <c r="A17" s="180" t="s">
        <v>375</v>
      </c>
      <c r="B17" s="194" t="s">
        <v>159</v>
      </c>
      <c r="C17" s="205"/>
      <c r="D17" s="188" t="s">
        <v>76</v>
      </c>
    </row>
    <row r="18" spans="1:4" x14ac:dyDescent="0.2">
      <c r="A18" s="180" t="s">
        <v>376</v>
      </c>
      <c r="B18" s="194">
        <f>IF(C11="Vertical","n/a",SQRT((C15*C17)/(3.14159/4)))</f>
        <v>0</v>
      </c>
      <c r="C18" s="205"/>
      <c r="D18" s="188" t="s">
        <v>76</v>
      </c>
    </row>
    <row r="19" spans="1:4" x14ac:dyDescent="0.2">
      <c r="A19" s="180" t="s">
        <v>377</v>
      </c>
      <c r="B19" s="194">
        <f>IF(B18="n/a", "n/a",((3.14159/4)*B18))</f>
        <v>0</v>
      </c>
      <c r="C19" s="205"/>
      <c r="D19" s="188" t="s">
        <v>76</v>
      </c>
    </row>
    <row r="20" spans="1:4" x14ac:dyDescent="0.2">
      <c r="A20" s="180" t="s">
        <v>383</v>
      </c>
      <c r="B20" s="194">
        <f>C14/2</f>
        <v>0</v>
      </c>
      <c r="C20" s="196"/>
      <c r="D20" s="188" t="s">
        <v>76</v>
      </c>
    </row>
    <row r="21" spans="1:4" x14ac:dyDescent="0.2">
      <c r="A21" s="180" t="s">
        <v>183</v>
      </c>
      <c r="B21" s="194" t="str">
        <f>IF(ISBLANK(C14),"0.000",(C14-1))</f>
        <v>0.000</v>
      </c>
      <c r="C21" s="196"/>
      <c r="D21" s="188" t="s">
        <v>76</v>
      </c>
    </row>
    <row r="22" spans="1:4" x14ac:dyDescent="0.2">
      <c r="A22" s="180" t="s">
        <v>184</v>
      </c>
      <c r="B22" s="194">
        <f>(3.1416*((B16)^2)*C21)*7.48</f>
        <v>0</v>
      </c>
      <c r="C22" s="205"/>
      <c r="D22" s="188" t="s">
        <v>73</v>
      </c>
    </row>
    <row r="23" spans="1:4" ht="17.25" customHeight="1" x14ac:dyDescent="0.2">
      <c r="A23" s="180" t="s">
        <v>185</v>
      </c>
      <c r="B23" s="194">
        <f>(3.1416*((B16)^2)*(IF(ISBLANK(C21),B21,C21)))*7.48</f>
        <v>0</v>
      </c>
      <c r="C23" s="243"/>
      <c r="D23" s="188" t="s">
        <v>73</v>
      </c>
    </row>
    <row r="24" spans="1:4" x14ac:dyDescent="0.2">
      <c r="A24" s="180" t="s">
        <v>148</v>
      </c>
      <c r="B24" s="195" t="s">
        <v>159</v>
      </c>
      <c r="C24" s="189"/>
      <c r="D24" s="188" t="s">
        <v>74</v>
      </c>
    </row>
    <row r="25" spans="1:4" x14ac:dyDescent="0.2">
      <c r="A25" s="242" t="s">
        <v>408</v>
      </c>
      <c r="B25" s="194">
        <f>B22*C24</f>
        <v>0</v>
      </c>
      <c r="C25" s="193"/>
      <c r="D25" s="188" t="s">
        <v>234</v>
      </c>
    </row>
    <row r="26" spans="1:4" x14ac:dyDescent="0.2">
      <c r="A26" s="242" t="s">
        <v>407</v>
      </c>
      <c r="B26" s="192">
        <f>(IF(ISBLANK(C25),B25,C25))/42</f>
        <v>0</v>
      </c>
      <c r="C26" s="243"/>
      <c r="D26" s="188" t="s">
        <v>144</v>
      </c>
    </row>
    <row r="27" spans="1:4" x14ac:dyDescent="0.2">
      <c r="A27" s="191" t="s">
        <v>150</v>
      </c>
      <c r="B27" s="190" t="s">
        <v>159</v>
      </c>
      <c r="C27" s="189"/>
      <c r="D27" s="188" t="s">
        <v>151</v>
      </c>
    </row>
    <row r="28" spans="1:4" ht="15" x14ac:dyDescent="0.2">
      <c r="A28" s="330" t="s">
        <v>100</v>
      </c>
      <c r="B28" s="331"/>
      <c r="C28" s="331"/>
      <c r="D28" s="332"/>
    </row>
    <row r="29" spans="1:4" x14ac:dyDescent="0.2">
      <c r="A29" s="180" t="s">
        <v>321</v>
      </c>
      <c r="B29" s="187" t="s">
        <v>159</v>
      </c>
      <c r="C29" s="175"/>
      <c r="D29" s="178" t="s">
        <v>74</v>
      </c>
    </row>
    <row r="30" spans="1:4" x14ac:dyDescent="0.2">
      <c r="A30" s="180" t="s">
        <v>320</v>
      </c>
      <c r="B30" s="179" t="s">
        <v>159</v>
      </c>
      <c r="C30" s="177"/>
      <c r="D30" s="178" t="s">
        <v>74</v>
      </c>
    </row>
    <row r="31" spans="1:4" x14ac:dyDescent="0.2">
      <c r="A31" s="180" t="s">
        <v>129</v>
      </c>
      <c r="B31" s="179" t="str">
        <f>_xlfn.IFNA(HLOOKUP(C30,'Hidden Data'!$C$3:$E$16,MATCH(C29,'Hidden Data'!$B$3:$B$16,0),FALSE),"Error!")</f>
        <v>Error!</v>
      </c>
      <c r="C31" s="243"/>
      <c r="D31" s="178" t="s">
        <v>74</v>
      </c>
    </row>
    <row r="32" spans="1:4" x14ac:dyDescent="0.2">
      <c r="A32" s="180" t="s">
        <v>317</v>
      </c>
      <c r="B32" s="186" t="s">
        <v>159</v>
      </c>
      <c r="C32" s="175"/>
      <c r="D32" s="178" t="s">
        <v>74</v>
      </c>
    </row>
    <row r="33" spans="1:4" x14ac:dyDescent="0.2">
      <c r="A33" s="180" t="s">
        <v>318</v>
      </c>
      <c r="B33" s="186" t="s">
        <v>159</v>
      </c>
      <c r="C33" s="177"/>
      <c r="D33" s="178" t="s">
        <v>74</v>
      </c>
    </row>
    <row r="34" spans="1:4" x14ac:dyDescent="0.2">
      <c r="A34" s="180" t="s">
        <v>130</v>
      </c>
      <c r="B34" s="181" t="str">
        <f>_xlfn.IFNA(HLOOKUP(C33,'Hidden Data'!$C$3:$E$16,MATCH(C32,'Hidden Data'!$B$3:$B$16,0),FALSE),"Error!")</f>
        <v>Error!</v>
      </c>
      <c r="C34" s="243"/>
      <c r="D34" s="178" t="s">
        <v>74</v>
      </c>
    </row>
    <row r="35" spans="1:4" ht="28.5" x14ac:dyDescent="0.2">
      <c r="A35" s="180" t="s">
        <v>209</v>
      </c>
      <c r="B35" s="181" t="e">
        <f>(B31+B34)/2</f>
        <v>#VALUE!</v>
      </c>
      <c r="C35" s="243"/>
      <c r="D35" s="178" t="s">
        <v>74</v>
      </c>
    </row>
    <row r="36" spans="1:4" ht="15" x14ac:dyDescent="0.25">
      <c r="A36" s="308" t="s">
        <v>101</v>
      </c>
      <c r="B36" s="309"/>
      <c r="C36" s="309"/>
      <c r="D36" s="310"/>
    </row>
    <row r="37" spans="1:4" x14ac:dyDescent="0.2">
      <c r="A37" s="180" t="s">
        <v>319</v>
      </c>
      <c r="B37" s="179" t="s">
        <v>159</v>
      </c>
      <c r="C37" s="177"/>
      <c r="D37" s="178" t="s">
        <v>74</v>
      </c>
    </row>
    <row r="38" spans="1:4" x14ac:dyDescent="0.2">
      <c r="A38" s="180" t="s">
        <v>142</v>
      </c>
      <c r="B38" s="179">
        <f>C15</f>
        <v>0</v>
      </c>
      <c r="C38" s="173"/>
      <c r="D38" s="178" t="s">
        <v>76</v>
      </c>
    </row>
    <row r="39" spans="1:4" x14ac:dyDescent="0.2">
      <c r="A39" s="180" t="s">
        <v>143</v>
      </c>
      <c r="B39" s="179">
        <f>(IF(ISBLANK(C38),B38,C38))/2</f>
        <v>0</v>
      </c>
      <c r="C39" s="243"/>
      <c r="D39" s="178" t="s">
        <v>76</v>
      </c>
    </row>
    <row r="40" spans="1:4" x14ac:dyDescent="0.2">
      <c r="A40" s="180" t="s">
        <v>131</v>
      </c>
      <c r="B40" s="179" t="str">
        <f>IF(C37="Cone", 0.0625, "n/a")</f>
        <v>n/a</v>
      </c>
      <c r="C40" s="182"/>
      <c r="D40" s="178" t="s">
        <v>76</v>
      </c>
    </row>
    <row r="41" spans="1:4" x14ac:dyDescent="0.2">
      <c r="A41" s="180" t="s">
        <v>140</v>
      </c>
      <c r="B41" s="186" t="e">
        <f>IF(C37="Dome","n/a",(IF(ISBLANK(C40),B40,C40))*(B39))</f>
        <v>#VALUE!</v>
      </c>
      <c r="C41" s="243"/>
      <c r="D41" s="178" t="s">
        <v>76</v>
      </c>
    </row>
    <row r="42" spans="1:4" x14ac:dyDescent="0.2">
      <c r="A42" s="180" t="s">
        <v>141</v>
      </c>
      <c r="B42" s="186" t="str">
        <f>IF(C37="Dome",(B39-((((B39)^2)-(B16^2))^0.5)), "n/a")</f>
        <v>n/a</v>
      </c>
      <c r="C42" s="243"/>
      <c r="D42" s="178" t="s">
        <v>76</v>
      </c>
    </row>
    <row r="43" spans="1:4" ht="15" x14ac:dyDescent="0.25">
      <c r="A43" s="333" t="s">
        <v>102</v>
      </c>
      <c r="B43" s="333"/>
      <c r="C43" s="333"/>
      <c r="D43" s="333"/>
    </row>
    <row r="44" spans="1:4" x14ac:dyDescent="0.2">
      <c r="A44" s="180" t="s">
        <v>133</v>
      </c>
      <c r="B44" s="179">
        <v>-0.03</v>
      </c>
      <c r="C44" s="182"/>
      <c r="D44" s="178" t="s">
        <v>75</v>
      </c>
    </row>
    <row r="45" spans="1:4" x14ac:dyDescent="0.2">
      <c r="A45" s="180" t="s">
        <v>132</v>
      </c>
      <c r="B45" s="179">
        <v>0.03</v>
      </c>
      <c r="C45" s="182"/>
      <c r="D45" s="178" t="s">
        <v>75</v>
      </c>
    </row>
    <row r="46" spans="1:4" x14ac:dyDescent="0.2">
      <c r="A46" s="180" t="s">
        <v>186</v>
      </c>
      <c r="B46" s="186">
        <f>(IF(ISBLANK(C45),B45,C45))-(IF(ISBLANK(C44),B44,C44))</f>
        <v>0.06</v>
      </c>
      <c r="C46" s="243"/>
      <c r="D46" s="178" t="s">
        <v>75</v>
      </c>
    </row>
    <row r="47" spans="1:4" ht="28.5" x14ac:dyDescent="0.2">
      <c r="A47" s="180" t="s">
        <v>146</v>
      </c>
      <c r="B47" s="179" t="s">
        <v>159</v>
      </c>
      <c r="C47" s="177"/>
      <c r="D47" s="178" t="s">
        <v>75</v>
      </c>
    </row>
    <row r="48" spans="1:4" ht="15" x14ac:dyDescent="0.25">
      <c r="A48" s="308" t="s">
        <v>120</v>
      </c>
      <c r="B48" s="309"/>
      <c r="C48" s="309"/>
      <c r="D48" s="310"/>
    </row>
    <row r="49" spans="1:4" x14ac:dyDescent="0.2">
      <c r="A49" s="180" t="s">
        <v>314</v>
      </c>
      <c r="B49" s="179" t="s">
        <v>159</v>
      </c>
      <c r="C49" s="177"/>
      <c r="D49" s="178" t="s">
        <v>74</v>
      </c>
    </row>
    <row r="50" spans="1:4" x14ac:dyDescent="0.2">
      <c r="A50" s="185" t="s">
        <v>360</v>
      </c>
      <c r="B50" s="184" t="s">
        <v>159</v>
      </c>
      <c r="C50" s="130"/>
      <c r="D50" s="183" t="s">
        <v>359</v>
      </c>
    </row>
    <row r="51" spans="1:4" x14ac:dyDescent="0.2">
      <c r="A51" s="180" t="s">
        <v>361</v>
      </c>
      <c r="B51" s="179" t="str">
        <f>_xlfn.IFNA(HLOOKUP(A51,'Vapor Factors'!$B2:$J12,MATCH(C49,'Vapor Factors'!$A2:$A12,0),FALSE),"n/a")</f>
        <v>n/a</v>
      </c>
      <c r="C51" s="182"/>
      <c r="D51" s="178" t="s">
        <v>121</v>
      </c>
    </row>
    <row r="52" spans="1:4" x14ac:dyDescent="0.2">
      <c r="A52" s="180" t="s">
        <v>362</v>
      </c>
      <c r="B52" s="157" t="str">
        <f>_xlfn.IFNA(HLOOKUP(A52,'Vapor Factors'!$B2:$J12,MATCH(C49,'Vapor Factors'!$A2:$A12,0),FALSE),"n/a")</f>
        <v>n/a</v>
      </c>
      <c r="C52" s="182"/>
      <c r="D52" s="178" t="s">
        <v>173</v>
      </c>
    </row>
    <row r="53" spans="1:4" x14ac:dyDescent="0.2">
      <c r="A53" s="180" t="s">
        <v>363</v>
      </c>
      <c r="B53" s="157" t="str">
        <f>_xlfn.IFNA(HLOOKUP(A53,'Vapor Factors'!$B2:$J12,MATCH(C49,'Vapor Factors'!$A2:$A12,0),FALSE),"n/a")</f>
        <v>n/a</v>
      </c>
      <c r="C53" s="243"/>
      <c r="D53" s="178" t="s">
        <v>74</v>
      </c>
    </row>
    <row r="54" spans="1:4" x14ac:dyDescent="0.2">
      <c r="A54" s="180" t="s">
        <v>364</v>
      </c>
      <c r="B54" s="157" t="str">
        <f>_xlfn.IFNA(HLOOKUP(A54,'Vapor Factors'!$B2:$J12,MATCH(C49,'Vapor Factors'!$A2:$A12,0),FALSE),"n/a")</f>
        <v>n/a</v>
      </c>
      <c r="C54" s="243"/>
      <c r="D54" s="178" t="s">
        <v>347</v>
      </c>
    </row>
    <row r="55" spans="1:4" x14ac:dyDescent="0.2">
      <c r="A55" s="180" t="s">
        <v>315</v>
      </c>
      <c r="B55" s="181">
        <v>100</v>
      </c>
      <c r="C55" s="173"/>
      <c r="D55" s="178" t="s">
        <v>172</v>
      </c>
    </row>
    <row r="56" spans="1:4" ht="18.75" x14ac:dyDescent="0.35">
      <c r="A56" s="180" t="s">
        <v>332</v>
      </c>
      <c r="B56" s="179" t="s">
        <v>159</v>
      </c>
      <c r="C56" s="169"/>
      <c r="D56" s="178" t="s">
        <v>172</v>
      </c>
    </row>
    <row r="57" spans="1:4" ht="36.75" customHeight="1" x14ac:dyDescent="0.2">
      <c r="A57" s="320" t="s">
        <v>416</v>
      </c>
      <c r="B57" s="321"/>
      <c r="C57" s="321"/>
      <c r="D57" s="321"/>
    </row>
    <row r="58" spans="1:4" ht="15" x14ac:dyDescent="0.25">
      <c r="A58" s="308" t="s">
        <v>164</v>
      </c>
      <c r="B58" s="309"/>
      <c r="C58" s="309"/>
      <c r="D58" s="310"/>
    </row>
    <row r="59" spans="1:4" ht="42.75" x14ac:dyDescent="0.2">
      <c r="A59" s="171" t="s">
        <v>156</v>
      </c>
      <c r="B59" s="172" t="s">
        <v>159</v>
      </c>
      <c r="C59" s="177"/>
      <c r="D59" s="168" t="s">
        <v>160</v>
      </c>
    </row>
    <row r="60" spans="1:4" ht="28.5" x14ac:dyDescent="0.2">
      <c r="A60" s="171" t="s">
        <v>316</v>
      </c>
      <c r="B60" s="176" t="s">
        <v>159</v>
      </c>
      <c r="C60" s="175"/>
      <c r="D60" s="168" t="s">
        <v>160</v>
      </c>
    </row>
    <row r="61" spans="1:4" ht="42.75" x14ac:dyDescent="0.2">
      <c r="A61" s="171" t="s">
        <v>157</v>
      </c>
      <c r="B61" s="172" t="s">
        <v>159</v>
      </c>
      <c r="C61" s="169"/>
      <c r="D61" s="168" t="s">
        <v>161</v>
      </c>
    </row>
    <row r="62" spans="1:4" x14ac:dyDescent="0.2">
      <c r="A62" s="171" t="s">
        <v>174</v>
      </c>
      <c r="B62" s="174" t="s">
        <v>159</v>
      </c>
      <c r="C62" s="169"/>
      <c r="D62" s="168" t="s">
        <v>75</v>
      </c>
    </row>
    <row r="63" spans="1:4" x14ac:dyDescent="0.2">
      <c r="A63" s="171" t="s">
        <v>175</v>
      </c>
      <c r="B63" s="172" t="s">
        <v>159</v>
      </c>
      <c r="C63" s="169"/>
      <c r="D63" s="168" t="s">
        <v>178</v>
      </c>
    </row>
    <row r="64" spans="1:4" x14ac:dyDescent="0.2">
      <c r="A64" s="171" t="s">
        <v>176</v>
      </c>
      <c r="B64" s="170" t="s">
        <v>159</v>
      </c>
      <c r="C64" s="169"/>
      <c r="D64" s="168" t="s">
        <v>75</v>
      </c>
    </row>
    <row r="65" spans="1:4" x14ac:dyDescent="0.2">
      <c r="A65" s="171" t="s">
        <v>177</v>
      </c>
      <c r="B65" s="170" t="s">
        <v>159</v>
      </c>
      <c r="C65" s="169"/>
      <c r="D65" s="168" t="s">
        <v>178</v>
      </c>
    </row>
    <row r="66" spans="1:4" ht="57" x14ac:dyDescent="0.2">
      <c r="A66" s="171" t="s">
        <v>355</v>
      </c>
      <c r="B66" s="174" t="str">
        <f>IF(C60="Laboratory GOR", 0.0026, "n/a")</f>
        <v>n/a</v>
      </c>
      <c r="C66" s="173"/>
      <c r="D66" s="168" t="s">
        <v>162</v>
      </c>
    </row>
    <row r="67" spans="1:4" ht="57" x14ac:dyDescent="0.2">
      <c r="A67" s="171" t="s">
        <v>158</v>
      </c>
      <c r="B67" s="172" t="s">
        <v>159</v>
      </c>
      <c r="C67" s="169"/>
      <c r="D67" s="168" t="s">
        <v>163</v>
      </c>
    </row>
    <row r="68" spans="1:4" ht="28.5" x14ac:dyDescent="0.2">
      <c r="A68" s="171" t="s">
        <v>343</v>
      </c>
      <c r="B68" s="170" t="s">
        <v>159</v>
      </c>
      <c r="C68" s="169"/>
      <c r="D68" s="168" t="s">
        <v>172</v>
      </c>
    </row>
    <row r="69" spans="1:4" ht="33.75" thickBot="1" x14ac:dyDescent="0.25">
      <c r="A69" s="167" t="s">
        <v>344</v>
      </c>
      <c r="B69" s="166" t="s">
        <v>159</v>
      </c>
      <c r="C69" s="165"/>
      <c r="D69" s="164" t="s">
        <v>172</v>
      </c>
    </row>
    <row r="70" spans="1:4" ht="45.75" thickBot="1" x14ac:dyDescent="0.3">
      <c r="A70" s="163" t="s">
        <v>168</v>
      </c>
      <c r="B70" s="162" t="str">
        <f>IF(C59="No","n/a", (IF(C60="Laboratory GOR", (C61*B26*C67*(IF(ISBLANK('Tank Information'!C66),'Tank Information'!B66,'Tank Information'!C66))),"n/a")))</f>
        <v>n/a</v>
      </c>
      <c r="C70" s="161"/>
      <c r="D70" s="160" t="s">
        <v>169</v>
      </c>
    </row>
    <row r="71" spans="1:4" ht="18.75" thickBot="1" x14ac:dyDescent="0.3">
      <c r="A71" s="305" t="s">
        <v>241</v>
      </c>
      <c r="B71" s="306"/>
      <c r="C71" s="307"/>
      <c r="D71" s="149"/>
    </row>
    <row r="72" spans="1:4" ht="15.75" thickBot="1" x14ac:dyDescent="0.3">
      <c r="A72" s="57" t="s">
        <v>65</v>
      </c>
      <c r="B72" s="58" t="s">
        <v>66</v>
      </c>
      <c r="C72" s="59" t="s">
        <v>72</v>
      </c>
      <c r="D72" s="149"/>
    </row>
    <row r="73" spans="1:4" x14ac:dyDescent="0.2">
      <c r="A73" s="311" t="s">
        <v>346</v>
      </c>
      <c r="B73" s="312"/>
      <c r="C73" s="313"/>
      <c r="D73" s="149"/>
    </row>
    <row r="74" spans="1:4" x14ac:dyDescent="0.2">
      <c r="A74" s="158" t="s">
        <v>341</v>
      </c>
      <c r="B74" s="159" t="e">
        <f>'Calculated Emission Totals'!D43</f>
        <v>#VALUE!</v>
      </c>
      <c r="C74" s="156" t="s">
        <v>169</v>
      </c>
      <c r="D74" s="149"/>
    </row>
    <row r="75" spans="1:4" x14ac:dyDescent="0.2">
      <c r="A75" s="158" t="s">
        <v>339</v>
      </c>
      <c r="B75" s="157" t="e">
        <f>'Calculated Emission Totals'!D48</f>
        <v>#VALUE!</v>
      </c>
      <c r="C75" s="156" t="s">
        <v>170</v>
      </c>
      <c r="D75" s="149"/>
    </row>
    <row r="76" spans="1:4" x14ac:dyDescent="0.2">
      <c r="A76" s="158" t="s">
        <v>341</v>
      </c>
      <c r="B76" s="157" t="e">
        <f>'Calculated Emission Totals'!D44</f>
        <v>#VALUE!</v>
      </c>
      <c r="C76" s="156" t="s">
        <v>171</v>
      </c>
      <c r="D76" s="149"/>
    </row>
    <row r="77" spans="1:4" x14ac:dyDescent="0.2">
      <c r="A77" s="314" t="s">
        <v>346</v>
      </c>
      <c r="B77" s="315"/>
      <c r="C77" s="316"/>
      <c r="D77" s="149"/>
    </row>
    <row r="78" spans="1:4" x14ac:dyDescent="0.2">
      <c r="A78" s="158" t="s">
        <v>342</v>
      </c>
      <c r="B78" s="157" t="str">
        <f>IF('Tank Information'!C59="No","n/a",(IF(ISBLANK('Tank Information'!C70),'Tank Information'!B70,'Tank Information'!C70)))</f>
        <v>n/a</v>
      </c>
      <c r="C78" s="156" t="s">
        <v>169</v>
      </c>
      <c r="D78" s="149"/>
    </row>
    <row r="79" spans="1:4" x14ac:dyDescent="0.2">
      <c r="A79" s="158" t="s">
        <v>340</v>
      </c>
      <c r="B79" s="157" t="str">
        <f>IF(B78="n/a", "n/a",B78/8760)</f>
        <v>n/a</v>
      </c>
      <c r="C79" s="156" t="s">
        <v>170</v>
      </c>
      <c r="D79" s="149"/>
    </row>
    <row r="80" spans="1:4" x14ac:dyDescent="0.2">
      <c r="A80" s="158" t="s">
        <v>342</v>
      </c>
      <c r="B80" s="157" t="str">
        <f>IF(B78="n/a", "n/a",B78/2000)</f>
        <v>n/a</v>
      </c>
      <c r="C80" s="156" t="s">
        <v>171</v>
      </c>
      <c r="D80" s="149"/>
    </row>
    <row r="81" spans="1:4" x14ac:dyDescent="0.2">
      <c r="A81" s="314" t="s">
        <v>346</v>
      </c>
      <c r="B81" s="315"/>
      <c r="C81" s="316"/>
      <c r="D81" s="149"/>
    </row>
    <row r="82" spans="1:4" x14ac:dyDescent="0.2">
      <c r="A82" s="158" t="s">
        <v>328</v>
      </c>
      <c r="B82" s="157" t="e">
        <f>B75*((IF(ISBLANK('Tank Information'!C55),'Tank Information'!B55,'Tank Information'!C55))/100)</f>
        <v>#VALUE!</v>
      </c>
      <c r="C82" s="156" t="s">
        <v>170</v>
      </c>
      <c r="D82" s="149"/>
    </row>
    <row r="83" spans="1:4" x14ac:dyDescent="0.2">
      <c r="A83" s="158" t="s">
        <v>329</v>
      </c>
      <c r="B83" s="157" t="e">
        <f>B76*((IF(ISBLANK('Tank Information'!C55),'Tank Information'!B55,'Tank Information'!C55))/100)</f>
        <v>#VALUE!</v>
      </c>
      <c r="C83" s="156" t="s">
        <v>171</v>
      </c>
      <c r="D83" s="149"/>
    </row>
    <row r="84" spans="1:4" ht="18.75" x14ac:dyDescent="0.35">
      <c r="A84" s="158" t="s">
        <v>330</v>
      </c>
      <c r="B84" s="157" t="e">
        <f>IF((B75*((IF(ISBLANK('Tank Information'!C56),0,'Tank Information'!C56))/100))=0, "n/a",(B75*((IF(ISBLANK('Tank Information'!C56),0,'Tank Information'!C56))/100)))</f>
        <v>#VALUE!</v>
      </c>
      <c r="C84" s="156" t="s">
        <v>170</v>
      </c>
      <c r="D84" s="149"/>
    </row>
    <row r="85" spans="1:4" ht="18.75" x14ac:dyDescent="0.35">
      <c r="A85" s="158" t="s">
        <v>331</v>
      </c>
      <c r="B85" s="157" t="e">
        <f>IF((B76*((IF(ISBLANK('Tank Information'!C56),0,'Tank Information'!C56))/100))=0, "n/a",(B76*((IF(ISBLANK('Tank Information'!C56),0,'Tank Information'!C56))/100)))</f>
        <v>#VALUE!</v>
      </c>
      <c r="C85" s="156" t="s">
        <v>171</v>
      </c>
      <c r="D85" s="149"/>
    </row>
    <row r="86" spans="1:4" x14ac:dyDescent="0.2">
      <c r="A86" s="314" t="s">
        <v>346</v>
      </c>
      <c r="B86" s="315"/>
      <c r="C86" s="316"/>
      <c r="D86" s="149"/>
    </row>
    <row r="87" spans="1:4" x14ac:dyDescent="0.2">
      <c r="A87" s="158" t="s">
        <v>333</v>
      </c>
      <c r="B87" s="157">
        <f>IF('Tank Information'!C59="No","n/a",(IF('Tank Information'!C59="Yes",B79*('Tank Information'!C68/100), 0)))</f>
        <v>0</v>
      </c>
      <c r="C87" s="156" t="s">
        <v>170</v>
      </c>
      <c r="D87" s="149"/>
    </row>
    <row r="88" spans="1:4" x14ac:dyDescent="0.2">
      <c r="A88" s="158" t="s">
        <v>334</v>
      </c>
      <c r="B88" s="157">
        <f>IF(B87="n/a","n/a",(IF('Tank Information'!C59="Yes",B80*('Tank Information'!C68/100), 0)))</f>
        <v>0</v>
      </c>
      <c r="C88" s="156" t="s">
        <v>171</v>
      </c>
      <c r="D88" s="149"/>
    </row>
    <row r="89" spans="1:4" ht="18.75" x14ac:dyDescent="0.35">
      <c r="A89" s="158" t="s">
        <v>335</v>
      </c>
      <c r="B89" s="157">
        <f>IF('Tank Information'!C59="No","n/a",(IF('Tank Information'!C59="Yes",B79*('Tank Information'!C69/100), 0)))</f>
        <v>0</v>
      </c>
      <c r="C89" s="156" t="s">
        <v>170</v>
      </c>
      <c r="D89" s="149"/>
    </row>
    <row r="90" spans="1:4" ht="18.75" x14ac:dyDescent="0.35">
      <c r="A90" s="158" t="s">
        <v>336</v>
      </c>
      <c r="B90" s="157">
        <f>IF(B89="n/a", "n/a",(IF('Tank Information'!C59="Yes",B80*('Tank Information'!C69/100), 0)))</f>
        <v>0</v>
      </c>
      <c r="C90" s="156" t="s">
        <v>171</v>
      </c>
      <c r="D90" s="149"/>
    </row>
    <row r="91" spans="1:4" ht="15" thickBot="1" x14ac:dyDescent="0.25">
      <c r="A91" s="317" t="s">
        <v>346</v>
      </c>
      <c r="B91" s="318"/>
      <c r="C91" s="319"/>
      <c r="D91" s="149"/>
    </row>
    <row r="92" spans="1:4" ht="15" x14ac:dyDescent="0.25">
      <c r="A92" s="53" t="s">
        <v>356</v>
      </c>
      <c r="B92" s="155" t="e">
        <f>((IF(B87="n/a",0,B87))+B82)</f>
        <v>#VALUE!</v>
      </c>
      <c r="C92" s="154" t="s">
        <v>170</v>
      </c>
      <c r="D92" s="149"/>
    </row>
    <row r="93" spans="1:4" ht="15.75" thickBot="1" x14ac:dyDescent="0.3">
      <c r="A93" s="54" t="s">
        <v>337</v>
      </c>
      <c r="B93" s="151" t="e">
        <f>B83+(IF(B88="n/a",0,B88))</f>
        <v>#VALUE!</v>
      </c>
      <c r="C93" s="150" t="s">
        <v>171</v>
      </c>
      <c r="D93" s="149"/>
    </row>
    <row r="94" spans="1:4" ht="16.5" x14ac:dyDescent="0.3">
      <c r="A94" s="55" t="s">
        <v>357</v>
      </c>
      <c r="B94" s="153" t="e">
        <f>IF(((IF(B84="n/a",0,B84))+(IF(B89="n/a",0,B89)))=0,"n/a",((IF(B84="n/a",0,B84))+(IF(B89="n/a",0,B89))))</f>
        <v>#VALUE!</v>
      </c>
      <c r="C94" s="152" t="s">
        <v>170</v>
      </c>
      <c r="D94" s="149"/>
    </row>
    <row r="95" spans="1:4" ht="17.25" thickBot="1" x14ac:dyDescent="0.35">
      <c r="A95" s="56" t="s">
        <v>338</v>
      </c>
      <c r="B95" s="151" t="e">
        <f>IF((IF(B85="n/a",0,B85))+(IF(B90="n/a",0,B90))=0,"n/a",(IF(B85="n/a",0,B85))+(IF(B90="n/a",0,B90)))</f>
        <v>#VALUE!</v>
      </c>
      <c r="C95" s="150" t="s">
        <v>171</v>
      </c>
      <c r="D95" s="149"/>
    </row>
    <row r="96" spans="1:4" ht="15" x14ac:dyDescent="0.25">
      <c r="A96" s="302" t="s">
        <v>346</v>
      </c>
      <c r="B96" s="302"/>
      <c r="C96" s="302"/>
      <c r="D96" s="148"/>
    </row>
    <row r="97" spans="1:4" ht="14.25" customHeight="1" x14ac:dyDescent="0.2">
      <c r="A97" s="303" t="s">
        <v>303</v>
      </c>
      <c r="B97" s="303"/>
      <c r="C97" s="303"/>
      <c r="D97" s="129"/>
    </row>
    <row r="98" spans="1:4" x14ac:dyDescent="0.2">
      <c r="A98" s="304" t="s">
        <v>237</v>
      </c>
      <c r="B98" s="304"/>
      <c r="C98" s="304"/>
      <c r="D98" s="147"/>
    </row>
    <row r="99" spans="1:4" hidden="1" x14ac:dyDescent="0.2"/>
    <row r="100" spans="1:4" hidden="1" x14ac:dyDescent="0.2"/>
    <row r="101" spans="1:4" hidden="1" x14ac:dyDescent="0.2"/>
    <row r="102" spans="1:4" hidden="1" x14ac:dyDescent="0.2"/>
  </sheetData>
  <sheetProtection algorithmName="SHA-512" hashValue="bbMeqoFvFrhCNwP9d5kD1p6ey/kX2txwgw/91PFrg0Ed9vZG2YEQO2H0J3Epr0xYscPAr5Zsy5VPtR3kKyE4Sw==" saltValue="1QJ3t6msHlzQgguunnHEzw==" spinCount="100000" sheet="1" objects="1" scenarios="1" formatColumns="0" formatRows="0"/>
  <mergeCells count="18">
    <mergeCell ref="A57:D57"/>
    <mergeCell ref="A1:D1"/>
    <mergeCell ref="A48:D48"/>
    <mergeCell ref="A2:D2"/>
    <mergeCell ref="A10:D10"/>
    <mergeCell ref="A36:D36"/>
    <mergeCell ref="A28:D28"/>
    <mergeCell ref="A43:D43"/>
    <mergeCell ref="A96:C96"/>
    <mergeCell ref="A97:C97"/>
    <mergeCell ref="A98:C98"/>
    <mergeCell ref="A71:C71"/>
    <mergeCell ref="A58:D58"/>
    <mergeCell ref="A73:C73"/>
    <mergeCell ref="A77:C77"/>
    <mergeCell ref="A81:C81"/>
    <mergeCell ref="A86:C86"/>
    <mergeCell ref="A91:C91"/>
  </mergeCells>
  <conditionalFormatting sqref="A60:D70 A78:C80 A87:C90">
    <cfRule type="expression" dxfId="45" priority="29">
      <formula>$C$59="No"</formula>
    </cfRule>
  </conditionalFormatting>
  <conditionalFormatting sqref="A61:D67">
    <cfRule type="expression" dxfId="44" priority="27">
      <formula>$C$60="Computer Simulated Modeling"</formula>
    </cfRule>
    <cfRule type="expression" dxfId="43" priority="28">
      <formula>$C$60="Direct Measurement"</formula>
    </cfRule>
  </conditionalFormatting>
  <conditionalFormatting sqref="A40:D40 A41:B41 D41">
    <cfRule type="expression" dxfId="42" priority="26">
      <formula>$C$37="Dome"</formula>
    </cfRule>
  </conditionalFormatting>
  <conditionalFormatting sqref="A42:B42 D42">
    <cfRule type="expression" dxfId="41" priority="25">
      <formula>$C$37="Cone"</formula>
    </cfRule>
  </conditionalFormatting>
  <conditionalFormatting sqref="A47:D47">
    <cfRule type="expression" dxfId="40" priority="23">
      <formula>ISBLANK($C$45)</formula>
    </cfRule>
    <cfRule type="expression" dxfId="39" priority="24">
      <formula>ISBLANK($C$44)</formula>
    </cfRule>
  </conditionalFormatting>
  <conditionalFormatting sqref="A40:D40 A41:B42 D41:D42">
    <cfRule type="expression" dxfId="38" priority="22">
      <formula>ISBLANK($C$37)</formula>
    </cfRule>
  </conditionalFormatting>
  <conditionalFormatting sqref="A50:A56 C50:D52 C55:D56 D53:D54">
    <cfRule type="expression" dxfId="37" priority="21">
      <formula>ISBLANK($C$49)</formula>
    </cfRule>
  </conditionalFormatting>
  <conditionalFormatting sqref="A34:B35 D34:D35">
    <cfRule type="expression" dxfId="36" priority="20">
      <formula>ISBLANK($C$33)</formula>
    </cfRule>
  </conditionalFormatting>
  <conditionalFormatting sqref="A31:B31 D31">
    <cfRule type="expression" dxfId="35" priority="19">
      <formula>ISBLANK($C$30)</formula>
    </cfRule>
  </conditionalFormatting>
  <conditionalFormatting sqref="A60:D72 A74:D76 A73 D73 A78:D80 A77 D77 A82:D85 A81 D81 A87:D90 A86 D86 A92:D95 A91 D91">
    <cfRule type="expression" dxfId="34" priority="18">
      <formula>ISBLANK($C$59)</formula>
    </cfRule>
  </conditionalFormatting>
  <conditionalFormatting sqref="C70">
    <cfRule type="expression" dxfId="33" priority="17">
      <formula>$C$60="Laboratory GOR"</formula>
    </cfRule>
  </conditionalFormatting>
  <conditionalFormatting sqref="C51">
    <cfRule type="expression" dxfId="32" priority="16">
      <formula>$C$49="Crude Oil Other RVP"</formula>
    </cfRule>
  </conditionalFormatting>
  <conditionalFormatting sqref="C50">
    <cfRule type="expression" dxfId="31" priority="15">
      <formula>$C$49="Crude Oil Other RVP"</formula>
    </cfRule>
  </conditionalFormatting>
  <conditionalFormatting sqref="D50">
    <cfRule type="expression" dxfId="30" priority="13">
      <formula>$C$49="Crude Oil Other RVP"</formula>
    </cfRule>
  </conditionalFormatting>
  <conditionalFormatting sqref="A50">
    <cfRule type="expression" dxfId="29" priority="12">
      <formula>$C$49="Crude Oil Other RVP"</formula>
    </cfRule>
  </conditionalFormatting>
  <conditionalFormatting sqref="C47">
    <cfRule type="cellIs" dxfId="28" priority="11" operator="equal">
      <formula>$C$44</formula>
    </cfRule>
  </conditionalFormatting>
  <conditionalFormatting sqref="A18:A19 D18:D19">
    <cfRule type="expression" dxfId="27" priority="9">
      <formula>(ISBLANK($C$11))</formula>
    </cfRule>
    <cfRule type="expression" dxfId="26" priority="10">
      <formula>$C$11="Vertical"</formula>
    </cfRule>
  </conditionalFormatting>
  <conditionalFormatting sqref="B18:B19">
    <cfRule type="expression" dxfId="25" priority="7">
      <formula>(ISBLANK($C$11))</formula>
    </cfRule>
    <cfRule type="expression" dxfId="24" priority="8">
      <formula>$C$11="Vertical"</formula>
    </cfRule>
  </conditionalFormatting>
  <conditionalFormatting sqref="B50:B56">
    <cfRule type="expression" dxfId="23" priority="6">
      <formula>ISBLANK($C$49)</formula>
    </cfRule>
  </conditionalFormatting>
  <conditionalFormatting sqref="B50">
    <cfRule type="expression" dxfId="22" priority="5">
      <formula>$C$49="Crude Oil Other RVP"</formula>
    </cfRule>
  </conditionalFormatting>
  <conditionalFormatting sqref="A17 D17">
    <cfRule type="expression" dxfId="21" priority="3">
      <formula>(ISBLANK($C$11))</formula>
    </cfRule>
    <cfRule type="expression" dxfId="20" priority="4">
      <formula>$C$11="Vertical"</formula>
    </cfRule>
  </conditionalFormatting>
  <conditionalFormatting sqref="B17">
    <cfRule type="expression" dxfId="19" priority="1">
      <formula>(ISBLANK($C$11))</formula>
    </cfRule>
    <cfRule type="expression" dxfId="18" priority="2">
      <formula>$C$11="Vertical"</formula>
    </cfRule>
  </conditionalFormatting>
  <dataValidations disablePrompts="1" count="41">
    <dataValidation allowBlank="1" showErrorMessage="1" prompt="Enter the total calculated or measured emissions from flashing, if necessary:" sqref="C70" xr:uid="{00000000-0002-0000-0100-000000000000}"/>
    <dataValidation type="decimal" allowBlank="1" showInputMessage="1" showErrorMessage="1" prompt="required input if applicable" sqref="C56" xr:uid="{00000000-0002-0000-0100-000001000000}">
      <formula1>0</formula1>
      <formula2>100</formula2>
    </dataValidation>
    <dataValidation type="decimal" allowBlank="1" showInputMessage="1" showErrorMessage="1" errorTitle="Error" error="Throughput entered exceeds the physical limitations of the storage tank." prompt="optional input" sqref="C25" xr:uid="{00000000-0002-0000-0100-000002000000}">
      <formula1>0</formula1>
      <formula2>B25</formula2>
    </dataValidation>
    <dataValidation allowBlank="1" showInputMessage="1" showErrorMessage="1" prompt="Last Name, First Name" sqref="A4" xr:uid="{00000000-0002-0000-0100-000003000000}"/>
    <dataValidation allowBlank="1" showInputMessage="1" showErrorMessage="1" prompt="Select a mixture/component from the drop-down menu" sqref="A49" xr:uid="{00000000-0002-0000-0100-000004000000}"/>
    <dataValidation allowBlank="1" showInputMessage="1" showErrorMessage="1" prompt="Assume 100% weight percentage if unknown." sqref="A55" xr:uid="{00000000-0002-0000-0100-000005000000}"/>
    <dataValidation allowBlank="1" showInputMessage="1" showErrorMessage="1" prompt="Select or enter a method from the drop-down menu." sqref="A60" xr:uid="{00000000-0002-0000-0100-000006000000}"/>
    <dataValidation allowBlank="1" showInputMessage="1" showErrorMessage="1" prompt="Select the color from the drop-down menu." sqref="A32 A29" xr:uid="{00000000-0002-0000-0100-000007000000}"/>
    <dataValidation allowBlank="1" showInputMessage="1" showErrorMessage="1" prompt="Select the condition from the drop-down menu." sqref="A33 A30" xr:uid="{00000000-0002-0000-0100-000008000000}"/>
    <dataValidation allowBlank="1" showInputMessage="1" showErrorMessage="1" prompt="Select the roof type from the drop-down menu." sqref="A37" xr:uid="{00000000-0002-0000-0100-000009000000}"/>
    <dataValidation allowBlank="1" showInputMessage="1" showErrorMessage="1" prompt="If the storage tank is bolted or riveted, enter &quot;0.00.&quot;" sqref="A44:A45" xr:uid="{00000000-0002-0000-0100-00000A000000}"/>
    <dataValidation allowBlank="1" showInputMessage="1" showErrorMessage="1" prompt="Select the nearest city from the drop-down menu." sqref="A8" xr:uid="{00000000-0002-0000-0100-00000B000000}"/>
    <dataValidation type="decimal" allowBlank="1" showInputMessage="1" showErrorMessage="1" errorTitle="Error" error="Please input a value between 0 and 100." prompt="required input if applicable" sqref="C68:C69" xr:uid="{00000000-0002-0000-0100-00000C000000}">
      <formula1>0</formula1>
      <formula2>100</formula2>
    </dataValidation>
    <dataValidation type="decimal" allowBlank="1" showInputMessage="1" showErrorMessage="1" errorTitle="Error" error="Maximum liquid height cannot be higher than shell height." prompt="optional input" sqref="C21" xr:uid="{00000000-0002-0000-0100-00000D000000}">
      <formula1>1</formula1>
      <formula2>C14</formula2>
    </dataValidation>
    <dataValidation allowBlank="1" showInputMessage="1" showErrorMessage="1" prompt="If the tank's net throughput is less than the calculated value,  enter its actual throughput in gallons per year." sqref="A25:A26" xr:uid="{00000000-0002-0000-0100-00000E000000}"/>
    <dataValidation allowBlank="1" showInputMessage="1" showErrorMessage="1" prompt="If the roof diameter is different from the calculated value, enter the actual value in feet." sqref="A38" xr:uid="{00000000-0002-0000-0100-00000F000000}"/>
    <dataValidation allowBlank="1" showInputMessage="1" showErrorMessage="1" prompt="If the component's vapor molecular weight is different from the provided value, enter its actual value." sqref="A51" xr:uid="{00000000-0002-0000-0100-000010000000}"/>
    <dataValidation allowBlank="1" showInputMessage="1" showErrorMessage="1" prompt="If the component's vapor pressure is different from the provided value, enter its actual value." sqref="A52" xr:uid="{00000000-0002-0000-0100-000011000000}"/>
    <dataValidation allowBlank="1" showInputMessage="1" showErrorMessage="1" prompt="The default slope value is 0.0625 feet. If the actual slope is different, enter the value." sqref="A40" xr:uid="{00000000-0002-0000-0100-000012000000}"/>
    <dataValidation allowBlank="1" showInputMessage="1" showErrorMessage="1" prompt="The default value 1/379.48 scf/lb-mole is at Standard Conditions. If a more accurate value is available, enter that value." sqref="A66" xr:uid="{00000000-0002-0000-0100-000013000000}"/>
    <dataValidation allowBlank="1" showInputMessage="1" showErrorMessage="1" prompt="If the tank's average liquid height is different from the calculated value,  enter its average liquid height in feet." sqref="A20" xr:uid="{00000000-0002-0000-0100-000014000000}"/>
    <dataValidation allowBlank="1" showInputMessage="1" showErrorMessage="1" prompt="If the tank's maximum liquid height is different from the calculated value,  enter its maximum liquid height in feet." sqref="A21" xr:uid="{00000000-0002-0000-0100-000015000000}"/>
    <dataValidation allowBlank="1" showInputMessage="1" showErrorMessage="1" prompt="If your Crude Oil component has a different RVP from 5, enter the actual RVP." sqref="A50" xr:uid="{00000000-0002-0000-0100-000016000000}"/>
    <dataValidation type="decimal" allowBlank="1" showInputMessage="1" showErrorMessage="1" errorTitle="Error" error="Input value must be between 0 and 50." prompt="required input for Crude Oil Other RVP" sqref="C50" xr:uid="{00000000-0002-0000-0100-000017000000}">
      <formula1>0</formula1>
      <formula2>50</formula2>
    </dataValidation>
    <dataValidation allowBlank="1" showInputMessage="1" showErrorMessage="1" prompt="optional input" sqref="C20 C51:C52 C40 C66" xr:uid="{00000000-0002-0000-0100-000018000000}"/>
    <dataValidation type="decimal" allowBlank="1" showInputMessage="1" showErrorMessage="1" prompt="optional input" sqref="C55" xr:uid="{00000000-0002-0000-0100-000019000000}">
      <formula1>0</formula1>
      <formula2>100</formula2>
    </dataValidation>
    <dataValidation allowBlank="1" showInputMessage="1" showErrorMessage="1" prompt="If tank vapor space pressure is 0.00 psig, please leave the input box blank." sqref="A47" xr:uid="{00000000-0002-0000-0100-00001A000000}"/>
    <dataValidation type="decimal" allowBlank="1" showInputMessage="1" showErrorMessage="1" error="If tank vapor space pressure is 0.00 psig, please leave the input box blank." prompt="required input if applicable " sqref="C47" xr:uid="{00000000-0002-0000-0100-00001B000000}">
      <formula1>0.00001</formula1>
      <formula2>25</formula2>
    </dataValidation>
    <dataValidation type="list" allowBlank="1" showInputMessage="1" showErrorMessage="1" prompt="required input" sqref="C11" xr:uid="{E1681D0A-E7EA-45D5-83AE-99E8892BCB61}">
      <formula1>"Vertical, Horizontal"</formula1>
    </dataValidation>
    <dataValidation type="list" allowBlank="1" showInputMessage="1" showErrorMessage="1" prompt="required input" sqref="C33 C30" xr:uid="{596FB79E-0C73-43EE-BBC9-11DACA782025}">
      <formula1>"New, Average, Aged"</formula1>
    </dataValidation>
    <dataValidation type="list" allowBlank="1" showInputMessage="1" showErrorMessage="1" prompt="required input" sqref="C37" xr:uid="{D237D39C-853F-4D3E-AAD5-82F7786D1DED}">
      <formula1>"Cone, Dome"</formula1>
    </dataValidation>
    <dataValidation type="list" allowBlank="1" showInputMessage="1" showErrorMessage="1" prompt="required input" sqref="C59" xr:uid="{EA1D8C02-61E0-43B2-B987-17AF10E813F7}">
      <formula1>"Yes, No"</formula1>
    </dataValidation>
    <dataValidation type="list" allowBlank="1" showInputMessage="1" showErrorMessage="1" prompt="required input" sqref="C12" xr:uid="{3708E6D2-8C1B-4656-8898-2D64AB198E15}">
      <formula1>"Underground, Above Ground"</formula1>
    </dataValidation>
    <dataValidation type="list" allowBlank="1" showInputMessage="1" showErrorMessage="1" sqref="C13" xr:uid="{3C726126-A1FA-41AE-A7B3-FE685C8BDE3D}">
      <formula1>"Fully Insulated, Uninsulated"</formula1>
    </dataValidation>
    <dataValidation allowBlank="1" showInputMessage="1" showErrorMessage="1" prompt="required input: first name last name" sqref="C4" xr:uid="{3ACCBD16-113E-4415-AD70-D190062E5DFF}"/>
    <dataValidation allowBlank="1" showInputMessage="1" showErrorMessage="1" prompt="intentionally blank" sqref="C9 C16:C19 C22:C23 C26 C39 C46 C53:C54 C31 C34:C35 C41:C42" xr:uid="{ABC424E1-DE7F-45FF-8051-31D9CB5418FF}"/>
    <dataValidation type="custom" allowBlank="1" showInputMessage="1" showErrorMessage="1" prompt="optional input" sqref="C44" xr:uid="{C6DAA8B0-A819-4BE5-9D19-13C22DDF2B7A}">
      <formula1>C44&lt;=0</formula1>
    </dataValidation>
    <dataValidation type="custom" allowBlank="1" showInputMessage="1" showErrorMessage="1" prompt="optional input" sqref="C45" xr:uid="{EB792540-76D8-442C-8FC3-0BFAA478AB9D}">
      <formula1>C45&gt;=0</formula1>
    </dataValidation>
    <dataValidation allowBlank="1" showInputMessage="1" showErrorMessage="1" prompt="required input" sqref="C5:C7 C14:C15 C24 C27" xr:uid="{F11BA671-E0F1-4BF1-A3EE-04F718E1BC79}"/>
    <dataValidation allowBlank="1" showInputMessage="1" showErrorMessage="1" prompt="required input if applicable" sqref="C61:C65 C67" xr:uid="{1D825A39-BA0E-4240-B9A3-4EF385EE4CBC}"/>
    <dataValidation type="custom" operator="greaterThanOrEqual" allowBlank="1" showInputMessage="1" showErrorMessage="1" prompt="optional input" sqref="C38" xr:uid="{3C2FB8FC-816B-4698-84E8-2159D9857317}">
      <formula1>C38&gt;=C15</formula1>
    </dataValidation>
  </dataValidations>
  <hyperlinks>
    <hyperlink ref="A97:C97" location="'Calculated Emission Totals'!A1" display="Click here to go to the Calculated Emission Totals sheet." xr:uid="{641C8E94-EF76-4AE3-9717-CF5A81D31630}"/>
  </hyperlinks>
  <printOptions horizontalCentered="1" gridLines="1"/>
  <pageMargins left="0.25" right="0.25" top="1" bottom="1" header="0.3" footer="0.3"/>
  <pageSetup orientation="portrait" r:id="rId1"/>
  <headerFooter>
    <oddHeader>&amp;LTCEQ Document No. 20897
Revised (08/21)&amp;C&amp;"-,Bold"Texas Commission on Environmental Quality
Fixed Roof Storage Tank Workbook
Tank Information&amp;R&amp;D</oddHeader>
    <oddFooter>Page &amp;P of &amp;N</oddFoot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required input" xr:uid="{69B646F2-4D93-4AF5-99DE-44EAC8818D0E}">
          <x14:formula1>
            <xm:f>'Hidden Data'!$A$19:$A$37</xm:f>
          </x14:formula1>
          <xm:sqref>C8</xm:sqref>
        </x14:dataValidation>
        <x14:dataValidation type="list" allowBlank="1" showInputMessage="1" showErrorMessage="1" prompt="required input" xr:uid="{A34B2294-7A4D-4E66-A407-F88D55F5D2B2}">
          <x14:formula1>
            <xm:f>'Hidden Data'!$B$4:$B$16</xm:f>
          </x14:formula1>
          <xm:sqref>C32 C29</xm:sqref>
        </x14:dataValidation>
        <x14:dataValidation type="list" allowBlank="1" showInputMessage="1" showErrorMessage="1" prompt="required input if applicable" xr:uid="{22837AE6-5D21-47F8-976E-E1E9FCFD660F}">
          <x14:formula1>
            <xm:f>'Hidden Data'!$E$19:$E$21</xm:f>
          </x14:formula1>
          <xm:sqref>C60</xm:sqref>
        </x14:dataValidation>
        <x14:dataValidation type="list" allowBlank="1" showInputMessage="1" showErrorMessage="1" prompt="required input" xr:uid="{D057BE58-1FF4-4008-8C8E-B9A7D90F43E4}">
          <x14:formula1>
            <xm:f>'Vapor Factors'!$A$3:$A$12</xm:f>
          </x14:formula1>
          <xm:sqref>C49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P58"/>
  <sheetViews>
    <sheetView showGridLines="0" zoomScaleNormal="100" workbookViewId="0">
      <selection sqref="A1:O1"/>
    </sheetView>
  </sheetViews>
  <sheetFormatPr defaultColWidth="0" defaultRowHeight="14.25" zeroHeight="1" x14ac:dyDescent="0.25"/>
  <cols>
    <col min="1" max="1" width="4.140625" style="118" bestFit="1" customWidth="1"/>
    <col min="2" max="2" width="8.28515625" style="114" bestFit="1" customWidth="1"/>
    <col min="3" max="3" width="23.5703125" style="119" customWidth="1"/>
    <col min="4" max="15" width="7.85546875" style="120" bestFit="1" customWidth="1"/>
    <col min="16" max="16" width="9.140625" style="52" hidden="1" customWidth="1"/>
    <col min="17" max="16384" width="9.140625" style="52" hidden="1"/>
  </cols>
  <sheetData>
    <row r="1" spans="1:15" ht="15.75" thickBot="1" x14ac:dyDescent="0.3">
      <c r="A1" s="334" t="s">
        <v>417</v>
      </c>
      <c r="B1" s="335"/>
      <c r="C1" s="335"/>
      <c r="D1" s="335"/>
      <c r="E1" s="336"/>
      <c r="F1" s="336"/>
      <c r="G1" s="336"/>
      <c r="H1" s="336"/>
      <c r="I1" s="336"/>
      <c r="J1" s="336"/>
      <c r="K1" s="336"/>
      <c r="L1" s="336"/>
      <c r="M1" s="336"/>
      <c r="N1" s="336"/>
      <c r="O1" s="336"/>
    </row>
    <row r="2" spans="1:15" ht="18.75" thickBot="1" x14ac:dyDescent="0.3">
      <c r="A2" s="343" t="s">
        <v>239</v>
      </c>
      <c r="B2" s="344"/>
      <c r="C2" s="344"/>
      <c r="D2" s="344"/>
      <c r="E2" s="344"/>
      <c r="F2" s="344"/>
      <c r="G2" s="344"/>
      <c r="H2" s="344"/>
      <c r="I2" s="344"/>
      <c r="J2" s="344"/>
      <c r="K2" s="344"/>
      <c r="L2" s="344"/>
      <c r="M2" s="344"/>
      <c r="N2" s="344"/>
      <c r="O2" s="345"/>
    </row>
    <row r="3" spans="1:15" s="82" customFormat="1" ht="15.75" thickBot="1" x14ac:dyDescent="0.3">
      <c r="A3" s="83" t="s">
        <v>238</v>
      </c>
      <c r="B3" s="83" t="s">
        <v>104</v>
      </c>
      <c r="C3" s="86" t="s">
        <v>90</v>
      </c>
      <c r="D3" s="95" t="s">
        <v>78</v>
      </c>
      <c r="E3" s="95" t="s">
        <v>79</v>
      </c>
      <c r="F3" s="95" t="s">
        <v>80</v>
      </c>
      <c r="G3" s="95" t="s">
        <v>81</v>
      </c>
      <c r="H3" s="95" t="s">
        <v>82</v>
      </c>
      <c r="I3" s="95" t="s">
        <v>83</v>
      </c>
      <c r="J3" s="95" t="s">
        <v>84</v>
      </c>
      <c r="K3" s="95" t="s">
        <v>85</v>
      </c>
      <c r="L3" s="95" t="s">
        <v>86</v>
      </c>
      <c r="M3" s="95" t="s">
        <v>87</v>
      </c>
      <c r="N3" s="95" t="s">
        <v>88</v>
      </c>
      <c r="O3" s="96" t="s">
        <v>89</v>
      </c>
    </row>
    <row r="4" spans="1:15" s="82" customFormat="1" ht="15" x14ac:dyDescent="0.25">
      <c r="A4" s="222"/>
      <c r="B4" s="223"/>
      <c r="C4" s="211" t="s">
        <v>384</v>
      </c>
      <c r="D4" s="206">
        <v>31</v>
      </c>
      <c r="E4" s="206">
        <v>28</v>
      </c>
      <c r="F4" s="206">
        <v>31</v>
      </c>
      <c r="G4" s="206">
        <v>30</v>
      </c>
      <c r="H4" s="206">
        <v>31</v>
      </c>
      <c r="I4" s="206">
        <v>30</v>
      </c>
      <c r="J4" s="206">
        <v>31</v>
      </c>
      <c r="K4" s="206">
        <v>31</v>
      </c>
      <c r="L4" s="206">
        <v>30</v>
      </c>
      <c r="M4" s="206">
        <v>31</v>
      </c>
      <c r="N4" s="206">
        <v>30</v>
      </c>
      <c r="O4" s="207">
        <v>31</v>
      </c>
    </row>
    <row r="5" spans="1:15" s="82" customFormat="1" ht="15" x14ac:dyDescent="0.2">
      <c r="A5" s="224"/>
      <c r="B5" s="225"/>
      <c r="C5" s="212" t="s">
        <v>386</v>
      </c>
      <c r="D5" s="365" t="str">
        <f>IF(ISBLANK('Tank Information'!C12),'Tank Information'!B12,'Tank Information'!C12)</f>
        <v>n/a</v>
      </c>
      <c r="E5" s="366"/>
      <c r="F5" s="366"/>
      <c r="G5" s="366"/>
      <c r="H5" s="366"/>
      <c r="I5" s="366"/>
      <c r="J5" s="366"/>
      <c r="K5" s="366"/>
      <c r="L5" s="366"/>
      <c r="M5" s="366"/>
      <c r="N5" s="366"/>
      <c r="O5" s="367"/>
    </row>
    <row r="6" spans="1:15" ht="28.5" x14ac:dyDescent="0.25">
      <c r="A6" s="221">
        <v>1</v>
      </c>
      <c r="B6" s="63" t="s">
        <v>110</v>
      </c>
      <c r="C6" s="244" t="s">
        <v>409</v>
      </c>
      <c r="D6" s="97">
        <f>_xlfn.IFNA(HLOOKUP(D3,'AP-42 Met. Data'!B67:N87,MATCH('Tank Information'!C8,'AP-42 Met. Data'!A67:A87),FALSE),0)</f>
        <v>0</v>
      </c>
      <c r="E6" s="97">
        <f>_xlfn.IFNA(HLOOKUP(E3,'AP-42 Met. Data'!B67:N87,MATCH('Tank Information'!C8,'AP-42 Met. Data'!A67:A87),FALSE),0)</f>
        <v>0</v>
      </c>
      <c r="F6" s="97">
        <f>_xlfn.IFNA(HLOOKUP(F3,'AP-42 Met. Data'!B67:N87,MATCH('Tank Information'!C8,'AP-42 Met. Data'!A67:A87),FALSE),0)</f>
        <v>0</v>
      </c>
      <c r="G6" s="97">
        <f>_xlfn.IFNA(HLOOKUP(G3,'AP-42 Met. Data'!B67:N87,MATCH('Tank Information'!C8,'AP-42 Met. Data'!A67:A87),FALSE),0)</f>
        <v>0</v>
      </c>
      <c r="H6" s="97">
        <f>_xlfn.IFNA(HLOOKUP(H3,'AP-42 Met. Data'!B67:N87,MATCH('Tank Information'!C8,'AP-42 Met. Data'!A67:A87),FALSE),0)</f>
        <v>0</v>
      </c>
      <c r="I6" s="97">
        <f>_xlfn.IFNA(HLOOKUP(I3,'AP-42 Met. Data'!B67:N87,MATCH('Tank Information'!C8,'AP-42 Met. Data'!A67:A87),FALSE),0)</f>
        <v>0</v>
      </c>
      <c r="J6" s="97">
        <f>_xlfn.IFNA(HLOOKUP(J3,'AP-42 Met. Data'!B67:N87,MATCH('Tank Information'!C8,'AP-42 Met. Data'!A67:A87),FALSE),0)</f>
        <v>0</v>
      </c>
      <c r="K6" s="97">
        <f>_xlfn.IFNA(HLOOKUP(K3,'AP-42 Met. Data'!B67:N87,MATCH('Tank Information'!C8,'AP-42 Met. Data'!A67:A87),FALSE),0)</f>
        <v>0</v>
      </c>
      <c r="L6" s="97">
        <f>_xlfn.IFNA(HLOOKUP(L3,'AP-42 Met. Data'!B67:N87,MATCH('Tank Information'!C8,'AP-42 Met. Data'!A67:A87),FALSE),0)</f>
        <v>0</v>
      </c>
      <c r="M6" s="97">
        <f>_xlfn.IFNA(HLOOKUP(M3,'AP-42 Met. Data'!B67:N87,MATCH('Tank Information'!C8,'AP-42 Met. Data'!A67:A87),FALSE),0)</f>
        <v>0</v>
      </c>
      <c r="N6" s="97">
        <f>_xlfn.IFNA(HLOOKUP(N3,'AP-42 Met. Data'!B67:N87,MATCH('Tank Information'!C8,'AP-42 Met. Data'!A67:A87),FALSE),0)</f>
        <v>0</v>
      </c>
      <c r="O6" s="98">
        <f>_xlfn.IFNA(HLOOKUP(O3,'AP-42 Met. Data'!B67:N87,MATCH('Tank Information'!C8,'AP-42 Met. Data'!A67:A87),FALSE),0)</f>
        <v>0</v>
      </c>
    </row>
    <row r="7" spans="1:15" ht="42.75" x14ac:dyDescent="0.25">
      <c r="A7" s="66">
        <v>2</v>
      </c>
      <c r="B7" s="67" t="s">
        <v>242</v>
      </c>
      <c r="C7" s="88" t="s">
        <v>368</v>
      </c>
      <c r="D7" s="99">
        <f>_xlfn.IFNA(HLOOKUP(D3,'AP-42 Met. Data'!B23:N43,MATCH('Tank Information'!C8,'AP-42 Met. Data'!A23:A43),FALSE),0)</f>
        <v>0</v>
      </c>
      <c r="E7" s="99">
        <f>_xlfn.IFNA(HLOOKUP(E3,'AP-42 Met. Data'!C23:O43,MATCH('Tank Information'!C8,'AP-42 Met. Data'!A23:A43),FALSE),0)</f>
        <v>0</v>
      </c>
      <c r="F7" s="99">
        <f>_xlfn.IFNA(HLOOKUP(F3,'AP-42 Met. Data'!D23:P43,MATCH('Tank Information'!C8,'AP-42 Met. Data'!A23:A43),FALSE),0)</f>
        <v>0</v>
      </c>
      <c r="G7" s="99">
        <f>_xlfn.IFNA(HLOOKUP(G3,'AP-42 Met. Data'!E23:Q43,MATCH('Tank Information'!C8,'AP-42 Met. Data'!A23:A43),FALSE),0)</f>
        <v>0</v>
      </c>
      <c r="H7" s="99">
        <f>_xlfn.IFNA(HLOOKUP(H3,'AP-42 Met. Data'!F23:R43,MATCH('Tank Information'!C8,'AP-42 Met. Data'!A23:A43),FALSE),0)</f>
        <v>0</v>
      </c>
      <c r="I7" s="99">
        <f>_xlfn.IFNA(HLOOKUP(I3,'AP-42 Met. Data'!G23:S43,MATCH('Tank Information'!C8,'AP-42 Met. Data'!A23:A43),FALSE),0)</f>
        <v>0</v>
      </c>
      <c r="J7" s="99">
        <f>_xlfn.IFNA(HLOOKUP(J3,'AP-42 Met. Data'!H23:T43,MATCH('Tank Information'!C8,'AP-42 Met. Data'!A23:A43),FALSE),0)</f>
        <v>0</v>
      </c>
      <c r="K7" s="99">
        <f>_xlfn.IFNA(HLOOKUP(K3,'AP-42 Met. Data'!I23:U43,MATCH('Tank Information'!C8,'AP-42 Met. Data'!A23:A43),FALSE),0)</f>
        <v>0</v>
      </c>
      <c r="L7" s="99">
        <f>_xlfn.IFNA(HLOOKUP(L3,'AP-42 Met. Data'!J23:V43,MATCH('Tank Information'!C8,'AP-42 Met. Data'!A23:A43),FALSE),0)</f>
        <v>0</v>
      </c>
      <c r="M7" s="99">
        <f>_xlfn.IFNA(HLOOKUP(M3,'AP-42 Met. Data'!K23:W43,MATCH('Tank Information'!C8,'AP-42 Met. Data'!A23:A43),FALSE),0)</f>
        <v>0</v>
      </c>
      <c r="N7" s="99">
        <f>_xlfn.IFNA(HLOOKUP(N3,'AP-42 Met. Data'!L23:X43,MATCH('Tank Information'!C8,'AP-42 Met. Data'!A23:A43),FALSE),0)</f>
        <v>0</v>
      </c>
      <c r="O7" s="100">
        <f>_xlfn.IFNA(HLOOKUP(O3,'AP-42 Met. Data'!M23:Y43,MATCH('Tank Information'!C8,'AP-42 Met. Data'!A23:A43),FALSE),0)</f>
        <v>0</v>
      </c>
    </row>
    <row r="8" spans="1:15" ht="42.75" x14ac:dyDescent="0.25">
      <c r="A8" s="66">
        <v>3</v>
      </c>
      <c r="B8" s="67" t="s">
        <v>243</v>
      </c>
      <c r="C8" s="88" t="s">
        <v>369</v>
      </c>
      <c r="D8" s="99">
        <f>_xlfn.IFNA(HLOOKUP(D3,'AP-42 Met. Data'!B1:N21,MATCH('Tank Information'!C8,'AP-42 Met. Data'!A1:A21),FALSE),0)</f>
        <v>0</v>
      </c>
      <c r="E8" s="99">
        <f>_xlfn.IFNA(HLOOKUP(E3,'AP-42 Met. Data'!B1:N21,MATCH('Tank Information'!C8,'AP-42 Met. Data'!A1:A21),FALSE),0)</f>
        <v>0</v>
      </c>
      <c r="F8" s="99">
        <f>_xlfn.IFNA(HLOOKUP(F3,'AP-42 Met. Data'!B1:N21,MATCH('Tank Information'!C8,'AP-42 Met. Data'!A1:A21),FALSE),0)</f>
        <v>0</v>
      </c>
      <c r="G8" s="99">
        <f>_xlfn.IFNA(HLOOKUP(G3,'AP-42 Met. Data'!B1:N21,MATCH('Tank Information'!C8,'AP-42 Met. Data'!A1:A21),FALSE),0)</f>
        <v>0</v>
      </c>
      <c r="H8" s="99">
        <f>_xlfn.IFNA(HLOOKUP(H3,'AP-42 Met. Data'!B1:N21,MATCH('Tank Information'!C8,'AP-42 Met. Data'!A1:A21),FALSE),0)</f>
        <v>0</v>
      </c>
      <c r="I8" s="99">
        <f>_xlfn.IFNA(HLOOKUP(I3,'AP-42 Met. Data'!B1:N21,MATCH('Tank Information'!C8,'AP-42 Met. Data'!A1:A21),FALSE),0)</f>
        <v>0</v>
      </c>
      <c r="J8" s="99">
        <f>_xlfn.IFNA(HLOOKUP(J3,'AP-42 Met. Data'!B1:N21,MATCH('Tank Information'!C8,'AP-42 Met. Data'!A1:A21),FALSE),0)</f>
        <v>0</v>
      </c>
      <c r="K8" s="99">
        <f>_xlfn.IFNA(HLOOKUP(K3,'AP-42 Met. Data'!B1:N21,MATCH('Tank Information'!C8,'AP-42 Met. Data'!A1:A21),FALSE),0)</f>
        <v>0</v>
      </c>
      <c r="L8" s="99">
        <f>_xlfn.IFNA(HLOOKUP(L3,'AP-42 Met. Data'!B1:N21,MATCH('Tank Information'!C8,'AP-42 Met. Data'!A1:A21),FALSE),0)</f>
        <v>0</v>
      </c>
      <c r="M8" s="99">
        <f>_xlfn.IFNA(HLOOKUP(M3,'AP-42 Met. Data'!B1:N21,MATCH('Tank Information'!C8,'AP-42 Met. Data'!A1:A21),FALSE),0)</f>
        <v>0</v>
      </c>
      <c r="N8" s="99">
        <f>_xlfn.IFNA(HLOOKUP(N3,'AP-42 Met. Data'!B1:N21,MATCH('Tank Information'!C8,'AP-42 Met. Data'!A1:A21),FALSE),0)</f>
        <v>0</v>
      </c>
      <c r="O8" s="100">
        <f>_xlfn.IFNA(HLOOKUP(O3,'AP-42 Met. Data'!B1:N21,MATCH('Tank Information'!C8,'AP-42 Met. Data'!A1:A21),FALSE),0)</f>
        <v>0</v>
      </c>
    </row>
    <row r="9" spans="1:15" ht="42.75" x14ac:dyDescent="0.25">
      <c r="A9" s="66">
        <v>4</v>
      </c>
      <c r="B9" s="67" t="s">
        <v>244</v>
      </c>
      <c r="C9" s="88" t="s">
        <v>367</v>
      </c>
      <c r="D9" s="99">
        <f>D7-D8</f>
        <v>0</v>
      </c>
      <c r="E9" s="99">
        <f t="shared" ref="E9:O9" si="0">E7-E8</f>
        <v>0</v>
      </c>
      <c r="F9" s="99">
        <f t="shared" si="0"/>
        <v>0</v>
      </c>
      <c r="G9" s="99">
        <f t="shared" si="0"/>
        <v>0</v>
      </c>
      <c r="H9" s="99">
        <f t="shared" si="0"/>
        <v>0</v>
      </c>
      <c r="I9" s="99">
        <f>I7-I8</f>
        <v>0</v>
      </c>
      <c r="J9" s="99">
        <f t="shared" si="0"/>
        <v>0</v>
      </c>
      <c r="K9" s="99">
        <f t="shared" si="0"/>
        <v>0</v>
      </c>
      <c r="L9" s="99">
        <f t="shared" si="0"/>
        <v>0</v>
      </c>
      <c r="M9" s="99">
        <f t="shared" si="0"/>
        <v>0</v>
      </c>
      <c r="N9" s="99">
        <f t="shared" si="0"/>
        <v>0</v>
      </c>
      <c r="O9" s="100">
        <f t="shared" si="0"/>
        <v>0</v>
      </c>
    </row>
    <row r="10" spans="1:15" ht="28.5" x14ac:dyDescent="0.25">
      <c r="A10" s="66">
        <v>5</v>
      </c>
      <c r="B10" s="67" t="s">
        <v>245</v>
      </c>
      <c r="C10" s="88" t="s">
        <v>136</v>
      </c>
      <c r="D10" s="127">
        <f>(D7+D8)/2</f>
        <v>0</v>
      </c>
      <c r="E10" s="127">
        <f t="shared" ref="E10:O10" si="1">(E7+E8)/2</f>
        <v>0</v>
      </c>
      <c r="F10" s="127">
        <f t="shared" si="1"/>
        <v>0</v>
      </c>
      <c r="G10" s="127">
        <f t="shared" si="1"/>
        <v>0</v>
      </c>
      <c r="H10" s="127">
        <f t="shared" si="1"/>
        <v>0</v>
      </c>
      <c r="I10" s="127">
        <f t="shared" si="1"/>
        <v>0</v>
      </c>
      <c r="J10" s="127">
        <f t="shared" si="1"/>
        <v>0</v>
      </c>
      <c r="K10" s="127">
        <f t="shared" si="1"/>
        <v>0</v>
      </c>
      <c r="L10" s="127">
        <f t="shared" si="1"/>
        <v>0</v>
      </c>
      <c r="M10" s="127">
        <f t="shared" si="1"/>
        <v>0</v>
      </c>
      <c r="N10" s="127">
        <f t="shared" si="1"/>
        <v>0</v>
      </c>
      <c r="O10" s="128">
        <f t="shared" si="1"/>
        <v>0</v>
      </c>
    </row>
    <row r="11" spans="1:15" ht="28.5" x14ac:dyDescent="0.25">
      <c r="A11" s="66">
        <v>6</v>
      </c>
      <c r="B11" s="67" t="s">
        <v>246</v>
      </c>
      <c r="C11" s="88" t="s">
        <v>117</v>
      </c>
      <c r="D11" s="238" t="e">
        <f>D10+(0.003*'Tank Information'!B31*D6)</f>
        <v>#VALUE!</v>
      </c>
      <c r="E11" s="101" t="e">
        <f>E10+(0.003*'Tank Information'!B31*E6)</f>
        <v>#VALUE!</v>
      </c>
      <c r="F11" s="101" t="e">
        <f>F10+(0.003*'Tank Information'!B31*F6)</f>
        <v>#VALUE!</v>
      </c>
      <c r="G11" s="101" t="e">
        <f>G10+(0.003*'Tank Information'!B31*G6)</f>
        <v>#VALUE!</v>
      </c>
      <c r="H11" s="101" t="e">
        <f>H10+(0.003*'Tank Information'!B31*H6)</f>
        <v>#VALUE!</v>
      </c>
      <c r="I11" s="101" t="e">
        <f>I10+(0.003*'Tank Information'!B31*I6)</f>
        <v>#VALUE!</v>
      </c>
      <c r="J11" s="101" t="e">
        <f>J10+(0.003*'Tank Information'!B31*J6)</f>
        <v>#VALUE!</v>
      </c>
      <c r="K11" s="101" t="e">
        <f>K10+(0.003*'Tank Information'!B31*K6)</f>
        <v>#VALUE!</v>
      </c>
      <c r="L11" s="101" t="e">
        <f>L10+(0.003*'Tank Information'!B31*L6)</f>
        <v>#VALUE!</v>
      </c>
      <c r="M11" s="101" t="e">
        <f>M10+(0.003*'Tank Information'!B31*M6)</f>
        <v>#VALUE!</v>
      </c>
      <c r="N11" s="101" t="e">
        <f>N10+(0.003*'Tank Information'!B31*N6)</f>
        <v>#VALUE!</v>
      </c>
      <c r="O11" s="102" t="e">
        <f>O10+(0.003*'Tank Information'!B31*O6)</f>
        <v>#VALUE!</v>
      </c>
    </row>
    <row r="12" spans="1:15" ht="42.75" x14ac:dyDescent="0.25">
      <c r="A12" s="66">
        <v>7</v>
      </c>
      <c r="B12" s="67" t="s">
        <v>247</v>
      </c>
      <c r="C12" s="88" t="s">
        <v>137</v>
      </c>
      <c r="D12" s="101" t="e">
        <f>((0.4*D10)+(0.6*D11)+(0.005*'Tank Information'!B35*D6))</f>
        <v>#VALUE!</v>
      </c>
      <c r="E12" s="101" t="e">
        <f>((0.4*E10)+(0.6*E11)+(0.005*'Tank Information'!B35*E6))</f>
        <v>#VALUE!</v>
      </c>
      <c r="F12" s="101" t="e">
        <f>((0.4*F10)+(0.6*F11)+(0.005*'Tank Information'!B35*F6))</f>
        <v>#VALUE!</v>
      </c>
      <c r="G12" s="101" t="e">
        <f>((0.4*G10)+(0.6*G11)+(0.005*'Tank Information'!B35*G6))</f>
        <v>#VALUE!</v>
      </c>
      <c r="H12" s="101" t="e">
        <f>((0.4*H10)+(0.6*H11)+(0.005*'Tank Information'!B35*H6))</f>
        <v>#VALUE!</v>
      </c>
      <c r="I12" s="101" t="e">
        <f>((0.4*I10)+(0.6*I11)+(0.005*'Tank Information'!B35*I6))</f>
        <v>#VALUE!</v>
      </c>
      <c r="J12" s="101" t="e">
        <f>((0.4*J10)+(0.6*J11)+(0.005*'Tank Information'!B35*J6))</f>
        <v>#VALUE!</v>
      </c>
      <c r="K12" s="101" t="e">
        <f>((0.4*K10)+(0.6*K11)+(0.005*'Tank Information'!B35*K6))</f>
        <v>#VALUE!</v>
      </c>
      <c r="L12" s="101" t="e">
        <f>((0.4*L10)+(0.6*L11)+(0.005*'Tank Information'!B35*L6))</f>
        <v>#VALUE!</v>
      </c>
      <c r="M12" s="101" t="e">
        <f>((0.4*M10)+(0.6*M11)+(0.005*'Tank Information'!B35*M6))</f>
        <v>#VALUE!</v>
      </c>
      <c r="N12" s="101" t="e">
        <f>((0.4*N10)+(0.6*N11)+(0.005*'Tank Information'!B35*N6))</f>
        <v>#VALUE!</v>
      </c>
      <c r="O12" s="102" t="e">
        <f>((0.4*O10)+(0.6*O11)+(0.005*'Tank Information'!B35*O6))</f>
        <v>#VALUE!</v>
      </c>
    </row>
    <row r="13" spans="1:15" ht="42.75" x14ac:dyDescent="0.25">
      <c r="A13" s="66">
        <v>8</v>
      </c>
      <c r="B13" s="67" t="s">
        <v>248</v>
      </c>
      <c r="C13" s="88" t="s">
        <v>138</v>
      </c>
      <c r="D13" s="101" t="e">
        <f>D12+(0.25*D15)</f>
        <v>#VALUE!</v>
      </c>
      <c r="E13" s="101" t="e">
        <f t="shared" ref="E13:O13" si="2">E12+(0.25*E15)</f>
        <v>#VALUE!</v>
      </c>
      <c r="F13" s="101" t="e">
        <f t="shared" si="2"/>
        <v>#VALUE!</v>
      </c>
      <c r="G13" s="101" t="e">
        <f t="shared" si="2"/>
        <v>#VALUE!</v>
      </c>
      <c r="H13" s="101" t="e">
        <f t="shared" si="2"/>
        <v>#VALUE!</v>
      </c>
      <c r="I13" s="101" t="e">
        <f t="shared" si="2"/>
        <v>#VALUE!</v>
      </c>
      <c r="J13" s="101" t="e">
        <f t="shared" si="2"/>
        <v>#VALUE!</v>
      </c>
      <c r="K13" s="101" t="e">
        <f t="shared" si="2"/>
        <v>#VALUE!</v>
      </c>
      <c r="L13" s="101" t="e">
        <f t="shared" si="2"/>
        <v>#VALUE!</v>
      </c>
      <c r="M13" s="101" t="e">
        <f t="shared" si="2"/>
        <v>#VALUE!</v>
      </c>
      <c r="N13" s="101" t="e">
        <f t="shared" si="2"/>
        <v>#VALUE!</v>
      </c>
      <c r="O13" s="102" t="e">
        <f t="shared" si="2"/>
        <v>#VALUE!</v>
      </c>
    </row>
    <row r="14" spans="1:15" ht="42.75" x14ac:dyDescent="0.25">
      <c r="A14" s="66">
        <v>9</v>
      </c>
      <c r="B14" s="67" t="s">
        <v>249</v>
      </c>
      <c r="C14" s="88" t="s">
        <v>139</v>
      </c>
      <c r="D14" s="101" t="e">
        <f>D12-(0.25*D15)</f>
        <v>#VALUE!</v>
      </c>
      <c r="E14" s="101" t="e">
        <f t="shared" ref="E14:O14" si="3">E12-(0.25*E15)</f>
        <v>#VALUE!</v>
      </c>
      <c r="F14" s="101" t="e">
        <f t="shared" si="3"/>
        <v>#VALUE!</v>
      </c>
      <c r="G14" s="101" t="e">
        <f t="shared" si="3"/>
        <v>#VALUE!</v>
      </c>
      <c r="H14" s="101" t="e">
        <f t="shared" si="3"/>
        <v>#VALUE!</v>
      </c>
      <c r="I14" s="101" t="e">
        <f t="shared" si="3"/>
        <v>#VALUE!</v>
      </c>
      <c r="J14" s="101" t="e">
        <f t="shared" si="3"/>
        <v>#VALUE!</v>
      </c>
      <c r="K14" s="101" t="e">
        <f t="shared" si="3"/>
        <v>#VALUE!</v>
      </c>
      <c r="L14" s="101" t="e">
        <f t="shared" si="3"/>
        <v>#VALUE!</v>
      </c>
      <c r="M14" s="101" t="e">
        <f t="shared" si="3"/>
        <v>#VALUE!</v>
      </c>
      <c r="N14" s="101" t="e">
        <f t="shared" si="3"/>
        <v>#VALUE!</v>
      </c>
      <c r="O14" s="102" t="e">
        <f t="shared" si="3"/>
        <v>#VALUE!</v>
      </c>
    </row>
    <row r="15" spans="1:15" ht="42.75" x14ac:dyDescent="0.25">
      <c r="A15" s="66">
        <v>10</v>
      </c>
      <c r="B15" s="67" t="s">
        <v>348</v>
      </c>
      <c r="C15" s="88" t="s">
        <v>118</v>
      </c>
      <c r="D15" s="101" t="e">
        <f>(0.7*D9+(0.02*'Tank Information'!B35*D6))</f>
        <v>#VALUE!</v>
      </c>
      <c r="E15" s="101" t="e">
        <f>(0.7*E9+(0.02*'Tank Information'!B35*E6))</f>
        <v>#VALUE!</v>
      </c>
      <c r="F15" s="101" t="e">
        <f>(0.7*F9+(0.02*'Tank Information'!B35*F6))</f>
        <v>#VALUE!</v>
      </c>
      <c r="G15" s="101" t="e">
        <f>(0.7*G9+(0.02*'Tank Information'!B35*G6))</f>
        <v>#VALUE!</v>
      </c>
      <c r="H15" s="101" t="e">
        <f>(0.7*H9+(0.02*'Tank Information'!B35*H6))</f>
        <v>#VALUE!</v>
      </c>
      <c r="I15" s="101" t="e">
        <f>(0.7*I9+(0.02*'Tank Information'!B35*I6))</f>
        <v>#VALUE!</v>
      </c>
      <c r="J15" s="101" t="e">
        <f>(0.7*J9+(0.02*'Tank Information'!B35*J6))</f>
        <v>#VALUE!</v>
      </c>
      <c r="K15" s="101" t="e">
        <f>(0.7*K9+(0.02*'Tank Information'!B35*K6))</f>
        <v>#VALUE!</v>
      </c>
      <c r="L15" s="101" t="e">
        <f>(0.7*L9+(0.02*'Tank Information'!B35*L6))</f>
        <v>#VALUE!</v>
      </c>
      <c r="M15" s="101" t="e">
        <f>(0.7*M9+(0.02*'Tank Information'!B35*M6))</f>
        <v>#VALUE!</v>
      </c>
      <c r="N15" s="101" t="e">
        <f>(0.7*N9+(0.02*'Tank Information'!B35*N6))</f>
        <v>#VALUE!</v>
      </c>
      <c r="O15" s="102" t="e">
        <f>(0.7*O9+(0.02*'Tank Information'!B35*O6))</f>
        <v>#VALUE!</v>
      </c>
    </row>
    <row r="16" spans="1:15" ht="29.25" thickBot="1" x14ac:dyDescent="0.3">
      <c r="A16" s="66">
        <v>11</v>
      </c>
      <c r="B16" s="74" t="s">
        <v>250</v>
      </c>
      <c r="C16" s="89" t="s">
        <v>208</v>
      </c>
      <c r="D16" s="103" t="e">
        <f>(0.7*D10 + 0.3*D11 +( 0.009*'Tank Information'!B35)*D6)</f>
        <v>#VALUE!</v>
      </c>
      <c r="E16" s="103" t="e">
        <f>(0.7*E10 + 0.3*E11 +( 0.009*'Tank Information'!B35)*E6)</f>
        <v>#VALUE!</v>
      </c>
      <c r="F16" s="103" t="e">
        <f>(0.7*F10 + 0.3*F11 +( 0.009*'Tank Information'!B35)*F6)</f>
        <v>#VALUE!</v>
      </c>
      <c r="G16" s="103" t="e">
        <f>(0.7*G10 + 0.3*G11 +( 0.009*'Tank Information'!B35)*G6)</f>
        <v>#VALUE!</v>
      </c>
      <c r="H16" s="103" t="e">
        <f>(0.7*H10 + 0.3*H11 +( 0.009*'Tank Information'!B35)*H6)</f>
        <v>#VALUE!</v>
      </c>
      <c r="I16" s="103" t="e">
        <f>(0.7*I10 + 0.3*I11 +( 0.009*'Tank Information'!B35)*I6)</f>
        <v>#VALUE!</v>
      </c>
      <c r="J16" s="103" t="e">
        <f>(0.7*J10 + 0.3*J11 +( 0.009*'Tank Information'!B35)*J6)</f>
        <v>#VALUE!</v>
      </c>
      <c r="K16" s="103" t="e">
        <f>(0.7*K10 + 0.3*K11 +( 0.009*'Tank Information'!B35)*K6)</f>
        <v>#VALUE!</v>
      </c>
      <c r="L16" s="103" t="e">
        <f>(0.7*L10 + 0.3*L11 +( 0.009*'Tank Information'!B35)*L6)</f>
        <v>#VALUE!</v>
      </c>
      <c r="M16" s="103" t="e">
        <f>(0.7*M10 + 0.3*M11 +( 0.009*'Tank Information'!B35)*M6)</f>
        <v>#VALUE!</v>
      </c>
      <c r="N16" s="103" t="e">
        <f>(0.7*N10 + 0.3*N11 +( 0.009*'Tank Information'!B35)*N6)</f>
        <v>#VALUE!</v>
      </c>
      <c r="O16" s="104" t="e">
        <f>(0.7*O10 + 0.3*O11 +( 0.009*'Tank Information'!B35)*O6)</f>
        <v>#VALUE!</v>
      </c>
    </row>
    <row r="17" spans="1:16" ht="28.5" x14ac:dyDescent="0.25">
      <c r="A17" s="66">
        <v>12</v>
      </c>
      <c r="B17" s="76" t="s">
        <v>251</v>
      </c>
      <c r="C17" s="105" t="s">
        <v>192</v>
      </c>
      <c r="D17" s="346" t="str">
        <f>'Tank Information'!B9</f>
        <v>No City Selected</v>
      </c>
      <c r="E17" s="346"/>
      <c r="F17" s="346"/>
      <c r="G17" s="346"/>
      <c r="H17" s="346"/>
      <c r="I17" s="346"/>
      <c r="J17" s="346"/>
      <c r="K17" s="346"/>
      <c r="L17" s="346"/>
      <c r="M17" s="346"/>
      <c r="N17" s="346"/>
      <c r="O17" s="347"/>
    </row>
    <row r="18" spans="1:16" ht="28.5" x14ac:dyDescent="0.25">
      <c r="A18" s="66">
        <v>13</v>
      </c>
      <c r="B18" s="67" t="s">
        <v>252</v>
      </c>
      <c r="C18" s="215" t="s">
        <v>193</v>
      </c>
      <c r="D18" s="360" t="str">
        <f>IF(ISBLANK('Tank Information'!C51),'Tank Information'!B51,'Tank Information'!C51)</f>
        <v>n/a</v>
      </c>
      <c r="E18" s="360"/>
      <c r="F18" s="360"/>
      <c r="G18" s="360"/>
      <c r="H18" s="360"/>
      <c r="I18" s="360"/>
      <c r="J18" s="360"/>
      <c r="K18" s="360"/>
      <c r="L18" s="360"/>
      <c r="M18" s="360"/>
      <c r="N18" s="360"/>
      <c r="O18" s="361"/>
    </row>
    <row r="19" spans="1:16" ht="28.5" x14ac:dyDescent="0.2">
      <c r="A19" s="66">
        <v>14</v>
      </c>
      <c r="B19" s="67" t="s">
        <v>253</v>
      </c>
      <c r="C19" s="107" t="s">
        <v>196</v>
      </c>
      <c r="D19" s="371" t="str">
        <f>IF(ISBLANK('Tank Information'!C52),'Tank Information'!B52,'Tank Information'!C52)</f>
        <v>n/a</v>
      </c>
      <c r="E19" s="372"/>
      <c r="F19" s="372"/>
      <c r="G19" s="372"/>
      <c r="H19" s="372"/>
      <c r="I19" s="372"/>
      <c r="J19" s="372"/>
      <c r="K19" s="372"/>
      <c r="L19" s="372"/>
      <c r="M19" s="372"/>
      <c r="N19" s="372"/>
      <c r="O19" s="373"/>
    </row>
    <row r="20" spans="1:16" ht="28.5" x14ac:dyDescent="0.25">
      <c r="A20" s="66">
        <v>15</v>
      </c>
      <c r="B20" s="67" t="s">
        <v>198</v>
      </c>
      <c r="C20" s="106" t="s">
        <v>152</v>
      </c>
      <c r="D20" s="365" t="str">
        <f>IF(ISBLANK('Tank Information'!C53),'Tank Information'!B53,'Tank Information'!C53)</f>
        <v>n/a</v>
      </c>
      <c r="E20" s="366"/>
      <c r="F20" s="366"/>
      <c r="G20" s="366"/>
      <c r="H20" s="366"/>
      <c r="I20" s="366"/>
      <c r="J20" s="366"/>
      <c r="K20" s="366"/>
      <c r="L20" s="366"/>
      <c r="M20" s="366"/>
      <c r="N20" s="366"/>
      <c r="O20" s="367"/>
      <c r="P20" s="108"/>
    </row>
    <row r="21" spans="1:16" ht="28.5" x14ac:dyDescent="0.25">
      <c r="A21" s="66">
        <v>16</v>
      </c>
      <c r="B21" s="67" t="s">
        <v>197</v>
      </c>
      <c r="C21" s="106" t="s">
        <v>153</v>
      </c>
      <c r="D21" s="365" t="str">
        <f>IF(ISBLANK('Tank Information'!C54),'Tank Information'!B54,'Tank Information'!C54)</f>
        <v>n/a</v>
      </c>
      <c r="E21" s="366"/>
      <c r="F21" s="366"/>
      <c r="G21" s="366"/>
      <c r="H21" s="366"/>
      <c r="I21" s="366"/>
      <c r="J21" s="366"/>
      <c r="K21" s="366"/>
      <c r="L21" s="366"/>
      <c r="M21" s="366"/>
      <c r="N21" s="366"/>
      <c r="O21" s="367"/>
      <c r="P21" s="108"/>
    </row>
    <row r="22" spans="1:16" ht="57" x14ac:dyDescent="0.25">
      <c r="A22" s="66">
        <v>17</v>
      </c>
      <c r="B22" s="67" t="s">
        <v>327</v>
      </c>
      <c r="C22" s="106" t="s">
        <v>155</v>
      </c>
      <c r="D22" s="133" t="e">
        <f>EXP(D20-(D21/D12))</f>
        <v>#VALUE!</v>
      </c>
      <c r="E22" s="133" t="e">
        <f>EXP(D20-(D21/E12))</f>
        <v>#VALUE!</v>
      </c>
      <c r="F22" s="133" t="e">
        <f>EXP(D20-(D21/F12))</f>
        <v>#VALUE!</v>
      </c>
      <c r="G22" s="133" t="e">
        <f>EXP(D20-(D21/G12))</f>
        <v>#VALUE!</v>
      </c>
      <c r="H22" s="133" t="e">
        <f>EXP(D20-(D21/H12))</f>
        <v>#VALUE!</v>
      </c>
      <c r="I22" s="133" t="e">
        <f>EXP(D20-(D21/I12))</f>
        <v>#VALUE!</v>
      </c>
      <c r="J22" s="133" t="e">
        <f>EXP(D20-(D21/J12))</f>
        <v>#VALUE!</v>
      </c>
      <c r="K22" s="133" t="e">
        <f>EXP(D20-(D21/K12))</f>
        <v>#VALUE!</v>
      </c>
      <c r="L22" s="133" t="e">
        <f>EXP(D20-(D21/L12))</f>
        <v>#VALUE!</v>
      </c>
      <c r="M22" s="133" t="e">
        <f>EXP(D20-(D21/M12))</f>
        <v>#VALUE!</v>
      </c>
      <c r="N22" s="133" t="e">
        <f>EXP(D20-(D21/N12))</f>
        <v>#VALUE!</v>
      </c>
      <c r="O22" s="133" t="e">
        <f>EXP(D20-(D21/O12))</f>
        <v>#VALUE!</v>
      </c>
      <c r="P22" s="108"/>
    </row>
    <row r="23" spans="1:16" ht="57" x14ac:dyDescent="0.25">
      <c r="A23" s="66">
        <v>18</v>
      </c>
      <c r="B23" s="67" t="s">
        <v>254</v>
      </c>
      <c r="C23" s="106" t="s">
        <v>179</v>
      </c>
      <c r="D23" s="133" t="e">
        <f>EXP(D20-(D21/D13))</f>
        <v>#VALUE!</v>
      </c>
      <c r="E23" s="133" t="e">
        <f>EXP(D20-(D21/E13))</f>
        <v>#VALUE!</v>
      </c>
      <c r="F23" s="133" t="e">
        <f>EXP(D20-(D21/F13))</f>
        <v>#VALUE!</v>
      </c>
      <c r="G23" s="133" t="e">
        <f>EXP(D20-(D21/G13))</f>
        <v>#VALUE!</v>
      </c>
      <c r="H23" s="133" t="e">
        <f>EXP(D20-(D21/H13))</f>
        <v>#VALUE!</v>
      </c>
      <c r="I23" s="133" t="e">
        <f>EXP(D20-(D21/I13))</f>
        <v>#VALUE!</v>
      </c>
      <c r="J23" s="133" t="e">
        <f>EXP(D20-(D21/J13))</f>
        <v>#VALUE!</v>
      </c>
      <c r="K23" s="133" t="e">
        <f>EXP(D20-(D21/K13))</f>
        <v>#VALUE!</v>
      </c>
      <c r="L23" s="133" t="e">
        <f>EXP(D20-(D21/L13))</f>
        <v>#VALUE!</v>
      </c>
      <c r="M23" s="133" t="e">
        <f>EXP(D20-(D21/M13))</f>
        <v>#VALUE!</v>
      </c>
      <c r="N23" s="133" t="e">
        <f>EXP(D20-(D21/N13))</f>
        <v>#VALUE!</v>
      </c>
      <c r="O23" s="133" t="e">
        <f>EXP(D20-(D21/O13))</f>
        <v>#VALUE!</v>
      </c>
      <c r="P23" s="108"/>
    </row>
    <row r="24" spans="1:16" ht="57" x14ac:dyDescent="0.25">
      <c r="A24" s="66">
        <v>19</v>
      </c>
      <c r="B24" s="67" t="s">
        <v>255</v>
      </c>
      <c r="C24" s="106" t="s">
        <v>180</v>
      </c>
      <c r="D24" s="133" t="e">
        <f>EXP(D20-(D21/D14))</f>
        <v>#VALUE!</v>
      </c>
      <c r="E24" s="133" t="e">
        <f>EXP(D20-(D21/E14))</f>
        <v>#VALUE!</v>
      </c>
      <c r="F24" s="133" t="e">
        <f>EXP(D20-(D21/F14))</f>
        <v>#VALUE!</v>
      </c>
      <c r="G24" s="133" t="e">
        <f>EXP(D20-(D21/G14))</f>
        <v>#VALUE!</v>
      </c>
      <c r="H24" s="133" t="e">
        <f>EXP(D20-(D21/H14))</f>
        <v>#VALUE!</v>
      </c>
      <c r="I24" s="133" t="e">
        <f>EXP(D20-(D21/I14))</f>
        <v>#VALUE!</v>
      </c>
      <c r="J24" s="133" t="e">
        <f>EXP(D20-(D21/J14))</f>
        <v>#VALUE!</v>
      </c>
      <c r="K24" s="133" t="e">
        <f>EXP(D20-(D21/K14))</f>
        <v>#VALUE!</v>
      </c>
      <c r="L24" s="133" t="e">
        <f>EXP(D20-(D21/L14))</f>
        <v>#VALUE!</v>
      </c>
      <c r="M24" s="133" t="e">
        <f>EXP(D20-(D21/M14))</f>
        <v>#VALUE!</v>
      </c>
      <c r="N24" s="133" t="e">
        <f>EXP(D20-(D21/N14))</f>
        <v>#VALUE!</v>
      </c>
      <c r="O24" s="133" t="e">
        <f>EXP(D20-(D21/O14))</f>
        <v>#VALUE!</v>
      </c>
      <c r="P24" s="108"/>
    </row>
    <row r="25" spans="1:16" ht="28.5" x14ac:dyDescent="0.25">
      <c r="A25" s="66">
        <v>20</v>
      </c>
      <c r="B25" s="67" t="s">
        <v>256</v>
      </c>
      <c r="C25" s="215" t="s">
        <v>91</v>
      </c>
      <c r="D25" s="371">
        <f>IF(ISBLANK('Tank Information'!C45),'Tank Information'!B45,'Tank Information'!C45)</f>
        <v>0.03</v>
      </c>
      <c r="E25" s="374"/>
      <c r="F25" s="374"/>
      <c r="G25" s="374"/>
      <c r="H25" s="374"/>
      <c r="I25" s="374"/>
      <c r="J25" s="374"/>
      <c r="K25" s="374"/>
      <c r="L25" s="374"/>
      <c r="M25" s="374"/>
      <c r="N25" s="374"/>
      <c r="O25" s="375"/>
      <c r="P25" s="108"/>
    </row>
    <row r="26" spans="1:16" ht="28.5" x14ac:dyDescent="0.25">
      <c r="A26" s="66">
        <v>21</v>
      </c>
      <c r="B26" s="67" t="s">
        <v>257</v>
      </c>
      <c r="C26" s="215" t="s">
        <v>92</v>
      </c>
      <c r="D26" s="371">
        <f>IF(ISBLANK('Tank Information'!C44),'Tank Information'!B44,'Tank Information'!C44)</f>
        <v>-0.03</v>
      </c>
      <c r="E26" s="374"/>
      <c r="F26" s="374"/>
      <c r="G26" s="374"/>
      <c r="H26" s="374"/>
      <c r="I26" s="374"/>
      <c r="J26" s="374"/>
      <c r="K26" s="374"/>
      <c r="L26" s="374"/>
      <c r="M26" s="374"/>
      <c r="N26" s="374"/>
      <c r="O26" s="375"/>
    </row>
    <row r="27" spans="1:16" ht="28.5" x14ac:dyDescent="0.25">
      <c r="A27" s="66">
        <v>22</v>
      </c>
      <c r="B27" s="241" t="s">
        <v>404</v>
      </c>
      <c r="C27" s="106" t="s">
        <v>135</v>
      </c>
      <c r="D27" s="371">
        <f>D25-D26</f>
        <v>0.06</v>
      </c>
      <c r="E27" s="374"/>
      <c r="F27" s="374"/>
      <c r="G27" s="374"/>
      <c r="H27" s="374"/>
      <c r="I27" s="374"/>
      <c r="J27" s="374"/>
      <c r="K27" s="374"/>
      <c r="L27" s="374"/>
      <c r="M27" s="374"/>
      <c r="N27" s="374"/>
      <c r="O27" s="375"/>
    </row>
    <row r="28" spans="1:16" ht="28.5" x14ac:dyDescent="0.25">
      <c r="A28" s="66">
        <v>23</v>
      </c>
      <c r="B28" s="67" t="s">
        <v>258</v>
      </c>
      <c r="C28" s="106" t="s">
        <v>145</v>
      </c>
      <c r="D28" s="134">
        <f>IF(ISBLANK('Tank Information'!C47),(IF(D27=0.06,1,1)),(IF(D34*((D25+D17)/('Tank Information'!C47+D17))&lt;1,1,(((('Tank Information'!C47+D17)/D34)-D22)/(D25+D17-D22)))))</f>
        <v>1</v>
      </c>
      <c r="E28" s="134">
        <f>IF(ISBLANK('Tank Information'!C47),(IF(D27=0.06,1,1)),(IF(D34*((D25+D17)/('Tank Information'!C47+D17))&lt;1,1,(((('Tank Information'!C47+D17)/D34)-E22)/(D25+D17-E22)))))</f>
        <v>1</v>
      </c>
      <c r="F28" s="134">
        <f>IF(ISBLANK('Tank Information'!C47),(IF(D27=0.06,1,1)),(IF(D34*((D25+D17)/('Tank Information'!C47+D17))&lt;1,1,(((('Tank Information'!C47+D17)/D34)-F22)/(D25+D17-F22)))))</f>
        <v>1</v>
      </c>
      <c r="G28" s="134">
        <f>IF(ISBLANK('Tank Information'!C47),(IF(D27=0.06,1,1)),(IF(D34*((D25+D17)/('Tank Information'!C47+D17))&lt;1,1,(((('Tank Information'!C47+D17)/D34)-G22)/(D25+D17-G22)))))</f>
        <v>1</v>
      </c>
      <c r="H28" s="134">
        <f>IF(ISBLANK('Tank Information'!C47),(IF(D27=0.06,1,1)),(IF(D34*((D25+D17)/('Tank Information'!C47+D17))&lt;1,1,(((('Tank Information'!C47+D17)/D34)-H22)/(D25+D17-H22)))))</f>
        <v>1</v>
      </c>
      <c r="I28" s="134">
        <f>IF(ISBLANK('Tank Information'!C47),(IF(D27=0.06,1,1)),(IF(D34*((D25+D17)/('Tank Information'!C47+D17))&lt;1,1,(((('Tank Information'!C47+D17)/D34)-I22)/(D25+D17-I22)))))</f>
        <v>1</v>
      </c>
      <c r="J28" s="134">
        <f>IF(ISBLANK('Tank Information'!C47),(IF(D27=0.06,1,1)),(IF(D34*((D25+D17)/('Tank Information'!C47+D17))&lt;1,1,(((('Tank Information'!C47+D17)/D34)-J22)/(D25+D17-J22)))))</f>
        <v>1</v>
      </c>
      <c r="K28" s="134">
        <f>IF(ISBLANK('Tank Information'!C47),(IF(D27=0.06,1,1)),(IF(D34*((D25+D17)/('Tank Information'!C47+D17))&lt;1,1,(((('Tank Information'!C47+D17)/D34)-K22)/(D25+D17-K22)))))</f>
        <v>1</v>
      </c>
      <c r="L28" s="134">
        <f>IF(ISBLANK('Tank Information'!C47),(IF(D27=0.06,1,1)),(IF(D34*((D25+D17)/('Tank Information'!C47+D17))&lt;1,1,(((('Tank Information'!C47+D17)/D34)-L22)/(D25+D17-L22)))))</f>
        <v>1</v>
      </c>
      <c r="M28" s="134">
        <f>IF(ISBLANK('Tank Information'!C47),(IF(D27=0.06,1,1)),(IF(D34*((D25+D17)/('Tank Information'!C47+D17))&lt;1,1,(((('Tank Information'!C47+D17)/D34)-M22)/(D25+D17-M22)))))</f>
        <v>1</v>
      </c>
      <c r="N28" s="134">
        <f>IF(ISBLANK('Tank Information'!C47),(IF(D27=0.06,1,1)),(IF(D34*((D25+D17)/('Tank Information'!C47+D17))&lt;1,1,(((('Tank Information'!C47+D17)/D34)-N22)/(D25+D17-N22)))))</f>
        <v>1</v>
      </c>
      <c r="O28" s="134">
        <f>IF(ISBLANK('Tank Information'!C47),(IF(D27=0.06,1,1)),(IF(D34*((D25+D17)/('Tank Information'!C47+D17))&lt;1,1,(((('Tank Information'!C47+D17)/D34)-O22)/(D25+D17-O22)))))</f>
        <v>1</v>
      </c>
    </row>
    <row r="29" spans="1:16" ht="28.5" x14ac:dyDescent="0.25">
      <c r="A29" s="66">
        <v>24</v>
      </c>
      <c r="B29" s="67" t="s">
        <v>259</v>
      </c>
      <c r="C29" s="106" t="s">
        <v>93</v>
      </c>
      <c r="D29" s="133" t="e">
        <f>D23-D24</f>
        <v>#VALUE!</v>
      </c>
      <c r="E29" s="133" t="e">
        <f t="shared" ref="E29:O29" si="4">E23-E24</f>
        <v>#VALUE!</v>
      </c>
      <c r="F29" s="133" t="e">
        <f t="shared" si="4"/>
        <v>#VALUE!</v>
      </c>
      <c r="G29" s="133" t="e">
        <f>G23-G24</f>
        <v>#VALUE!</v>
      </c>
      <c r="H29" s="133" t="e">
        <f t="shared" si="4"/>
        <v>#VALUE!</v>
      </c>
      <c r="I29" s="133" t="e">
        <f t="shared" si="4"/>
        <v>#VALUE!</v>
      </c>
      <c r="J29" s="133" t="e">
        <f>J23-J24</f>
        <v>#VALUE!</v>
      </c>
      <c r="K29" s="133" t="e">
        <f t="shared" si="4"/>
        <v>#VALUE!</v>
      </c>
      <c r="L29" s="133" t="e">
        <f t="shared" si="4"/>
        <v>#VALUE!</v>
      </c>
      <c r="M29" s="133" t="e">
        <f t="shared" si="4"/>
        <v>#VALUE!</v>
      </c>
      <c r="N29" s="133" t="e">
        <f t="shared" si="4"/>
        <v>#VALUE!</v>
      </c>
      <c r="O29" s="133" t="e">
        <f t="shared" si="4"/>
        <v>#VALUE!</v>
      </c>
      <c r="P29" s="108"/>
    </row>
    <row r="30" spans="1:16" ht="18.75" x14ac:dyDescent="0.25">
      <c r="A30" s="66">
        <v>25</v>
      </c>
      <c r="B30" s="67" t="s">
        <v>260</v>
      </c>
      <c r="C30" s="106" t="s">
        <v>94</v>
      </c>
      <c r="D30" s="365" t="e">
        <f>IF('Tank Information'!C37="Cone",(1/3*'Tank Information'!B41),('Tank Information'!B42*(0.5+(1/6*('Tank Information'!B42/'Tank Information'!B16)^2))))</f>
        <v>#VALUE!</v>
      </c>
      <c r="E30" s="366"/>
      <c r="F30" s="366"/>
      <c r="G30" s="366"/>
      <c r="H30" s="366"/>
      <c r="I30" s="366"/>
      <c r="J30" s="366"/>
      <c r="K30" s="366"/>
      <c r="L30" s="366"/>
      <c r="M30" s="366"/>
      <c r="N30" s="366"/>
      <c r="O30" s="367"/>
      <c r="P30" s="108"/>
    </row>
    <row r="31" spans="1:16" ht="18.75" x14ac:dyDescent="0.25">
      <c r="A31" s="66">
        <v>26</v>
      </c>
      <c r="B31" s="67" t="s">
        <v>261</v>
      </c>
      <c r="C31" s="106" t="s">
        <v>95</v>
      </c>
      <c r="D31" s="368" t="e">
        <f>IF('Tank Information'!C11="Horizontal",('Tank Information'!B19/2),'Tank Information'!C14-(IF(ISBLANK('Tank Information'!C20),'Tank Information'!B20,'Tank Information'!C20))+D30)</f>
        <v>#VALUE!</v>
      </c>
      <c r="E31" s="369"/>
      <c r="F31" s="369"/>
      <c r="G31" s="369"/>
      <c r="H31" s="369"/>
      <c r="I31" s="369"/>
      <c r="J31" s="369"/>
      <c r="K31" s="369"/>
      <c r="L31" s="369"/>
      <c r="M31" s="369"/>
      <c r="N31" s="369"/>
      <c r="O31" s="370"/>
      <c r="P31" s="108"/>
    </row>
    <row r="32" spans="1:16" ht="28.5" x14ac:dyDescent="0.25">
      <c r="A32" s="66">
        <v>27</v>
      </c>
      <c r="B32" s="67" t="s">
        <v>262</v>
      </c>
      <c r="C32" s="106" t="s">
        <v>124</v>
      </c>
      <c r="D32" s="133" t="e">
        <f>(D15/D12)+((D29-D27)/(D17-D22))</f>
        <v>#VALUE!</v>
      </c>
      <c r="E32" s="133" t="e">
        <f>(E15/E12)+((E29-D27)/((D17)-E22))</f>
        <v>#VALUE!</v>
      </c>
      <c r="F32" s="133" t="e">
        <f>(F15/F12)+((F29-D27)/((D17)-F22))</f>
        <v>#VALUE!</v>
      </c>
      <c r="G32" s="133" t="e">
        <f>(G15/G12)+((G29-D27)/((D17)-G22))</f>
        <v>#VALUE!</v>
      </c>
      <c r="H32" s="133" t="e">
        <f>(H15/H12)+((H29-D27)/((D17)-H22))</f>
        <v>#VALUE!</v>
      </c>
      <c r="I32" s="133" t="e">
        <f>(I15/I12)+((I29-D27)/((D17)-I22))</f>
        <v>#VALUE!</v>
      </c>
      <c r="J32" s="133" t="e">
        <f>(J15/J12)+((J29-D27)/((D17)-J22))</f>
        <v>#VALUE!</v>
      </c>
      <c r="K32" s="133" t="e">
        <f>(K15/K12)+((K29-D27)/((D17)-K22))</f>
        <v>#VALUE!</v>
      </c>
      <c r="L32" s="133" t="e">
        <f>(L15/L12)+((L29-D27)/((D17)-L22))</f>
        <v>#VALUE!</v>
      </c>
      <c r="M32" s="133" t="e">
        <f>(M15/M12)+((M29-D27)/((D17)-M22))</f>
        <v>#VALUE!</v>
      </c>
      <c r="N32" s="133" t="e">
        <f>(N15/N12)+((N29-D27)/((D17)-N22))</f>
        <v>#VALUE!</v>
      </c>
      <c r="O32" s="133" t="e">
        <f>(O15/O12)+((O29-D27)/((D17)-O22))</f>
        <v>#VALUE!</v>
      </c>
      <c r="P32" s="108"/>
    </row>
    <row r="33" spans="1:16" ht="28.5" x14ac:dyDescent="0.25">
      <c r="A33" s="66">
        <v>28</v>
      </c>
      <c r="B33" s="67" t="s">
        <v>263</v>
      </c>
      <c r="C33" s="106" t="s">
        <v>97</v>
      </c>
      <c r="D33" s="135" t="e">
        <f>(1/(1+(0.053*D22*D31)))</f>
        <v>#VALUE!</v>
      </c>
      <c r="E33" s="135" t="e">
        <f>(1/(1+(0.053*E22*D31)))</f>
        <v>#VALUE!</v>
      </c>
      <c r="F33" s="135" t="e">
        <f>(1/(1+(0.053*F22*D31)))</f>
        <v>#VALUE!</v>
      </c>
      <c r="G33" s="135" t="e">
        <f>(1/(1+(0.053*G22*D31)))</f>
        <v>#VALUE!</v>
      </c>
      <c r="H33" s="135" t="e">
        <f>(1/(1+(0.053*H22*D31)))</f>
        <v>#VALUE!</v>
      </c>
      <c r="I33" s="135" t="e">
        <f>(1/(1+(0.053*I22*D31)))</f>
        <v>#VALUE!</v>
      </c>
      <c r="J33" s="135" t="e">
        <f>(1/(1+(0.053*J22*D31)))</f>
        <v>#VALUE!</v>
      </c>
      <c r="K33" s="135" t="e">
        <f>(1/(1+(0.053*K22*D31)))</f>
        <v>#VALUE!</v>
      </c>
      <c r="L33" s="135" t="e">
        <f>(1/(1+(0.053*L22*D31)))</f>
        <v>#VALUE!</v>
      </c>
      <c r="M33" s="135" t="e">
        <f>(1/(1+(0.053*M22*D31)))</f>
        <v>#VALUE!</v>
      </c>
      <c r="N33" s="135" t="e">
        <f>(1/(1+(0.053*N22*D31)))</f>
        <v>#VALUE!</v>
      </c>
      <c r="O33" s="135" t="e">
        <f>(1/(1+(0.053*O22*D31)))</f>
        <v>#VALUE!</v>
      </c>
      <c r="P33" s="108"/>
    </row>
    <row r="34" spans="1:16" ht="18.75" x14ac:dyDescent="0.25">
      <c r="A34" s="66">
        <v>29</v>
      </c>
      <c r="B34" s="67" t="s">
        <v>264</v>
      </c>
      <c r="C34" s="106" t="s">
        <v>98</v>
      </c>
      <c r="D34" s="337">
        <f>IF('Tank Information'!C24&lt;=36, 1, ((180+'Tank Information'!C24)/(6*'Tank Information'!C24)))</f>
        <v>1</v>
      </c>
      <c r="E34" s="338"/>
      <c r="F34" s="338"/>
      <c r="G34" s="338"/>
      <c r="H34" s="338"/>
      <c r="I34" s="338"/>
      <c r="J34" s="338"/>
      <c r="K34" s="338"/>
      <c r="L34" s="338"/>
      <c r="M34" s="338"/>
      <c r="N34" s="338"/>
      <c r="O34" s="339"/>
    </row>
    <row r="35" spans="1:16" ht="28.5" x14ac:dyDescent="0.25">
      <c r="A35" s="66">
        <v>30</v>
      </c>
      <c r="B35" s="67" t="s">
        <v>265</v>
      </c>
      <c r="C35" s="106" t="s">
        <v>96</v>
      </c>
      <c r="D35" s="362">
        <f>_xlfn.IFNA(HLOOKUP(C35,'Vapor Factors'!P2:P21,MATCH('Tank Information'!C49,'Vapor Factors'!A2:A21,0),FALSE),0)</f>
        <v>0</v>
      </c>
      <c r="E35" s="363"/>
      <c r="F35" s="363"/>
      <c r="G35" s="363"/>
      <c r="H35" s="363"/>
      <c r="I35" s="363"/>
      <c r="J35" s="363"/>
      <c r="K35" s="363"/>
      <c r="L35" s="363"/>
      <c r="M35" s="363"/>
      <c r="N35" s="363"/>
      <c r="O35" s="364"/>
    </row>
    <row r="36" spans="1:16" ht="18.75" x14ac:dyDescent="0.25">
      <c r="A36" s="66">
        <v>31</v>
      </c>
      <c r="B36" s="67" t="s">
        <v>266</v>
      </c>
      <c r="C36" s="106" t="s">
        <v>99</v>
      </c>
      <c r="D36" s="348" t="e">
        <f>IF('Tank Information'!C11="Horizontal",((PI()/4)*D31*('Tank Information'!B18)^2),((PI()/4)*D31*(IF(ISBLANK('Tank Information'!C38),'Tank Information'!B38,'Tank Information'!C38)^2)))</f>
        <v>#VALUE!</v>
      </c>
      <c r="E36" s="349"/>
      <c r="F36" s="349"/>
      <c r="G36" s="349"/>
      <c r="H36" s="349"/>
      <c r="I36" s="349"/>
      <c r="J36" s="349"/>
      <c r="K36" s="349"/>
      <c r="L36" s="349"/>
      <c r="M36" s="349"/>
      <c r="N36" s="349"/>
      <c r="O36" s="350"/>
      <c r="P36" s="108"/>
    </row>
    <row r="37" spans="1:16" ht="19.5" thickBot="1" x14ac:dyDescent="0.3">
      <c r="A37" s="66">
        <v>32</v>
      </c>
      <c r="B37" s="136" t="s">
        <v>267</v>
      </c>
      <c r="C37" s="137" t="s">
        <v>126</v>
      </c>
      <c r="D37" s="138" t="e">
        <f>(D18*D22)/(10.731*D16)</f>
        <v>#VALUE!</v>
      </c>
      <c r="E37" s="138" t="e">
        <f>(D18*E22)/(10.731*E16)</f>
        <v>#VALUE!</v>
      </c>
      <c r="F37" s="138" t="e">
        <f>(D18*F22)/(10.731*F16)</f>
        <v>#VALUE!</v>
      </c>
      <c r="G37" s="138" t="e">
        <f>(D18*G22)/(10.731*G16)</f>
        <v>#VALUE!</v>
      </c>
      <c r="H37" s="138" t="e">
        <f>(D18*H22)/(10.731*H16)</f>
        <v>#VALUE!</v>
      </c>
      <c r="I37" s="138" t="e">
        <f>(D18*I22)/(10.731*I16)</f>
        <v>#VALUE!</v>
      </c>
      <c r="J37" s="138" t="e">
        <f>(D18*J22)/(10.731*J16)</f>
        <v>#VALUE!</v>
      </c>
      <c r="K37" s="138" t="e">
        <f>(D18*K22)/(10.731*K16)</f>
        <v>#VALUE!</v>
      </c>
      <c r="L37" s="138" t="e">
        <f>(D18*L22)/(10.731*L16)</f>
        <v>#VALUE!</v>
      </c>
      <c r="M37" s="138" t="e">
        <f>(D18*M22)/(10.731*M16)</f>
        <v>#VALUE!</v>
      </c>
      <c r="N37" s="138" t="e">
        <f>(D18*N22)/(10.731*N16)</f>
        <v>#VALUE!</v>
      </c>
      <c r="O37" s="138" t="e">
        <f>(D18*O22)/(10.731*O16)</f>
        <v>#VALUE!</v>
      </c>
      <c r="P37" s="108"/>
    </row>
    <row r="38" spans="1:16" ht="28.5" x14ac:dyDescent="0.25">
      <c r="A38" s="66">
        <v>33</v>
      </c>
      <c r="B38" s="76" t="s">
        <v>268</v>
      </c>
      <c r="C38" s="109" t="s">
        <v>199</v>
      </c>
      <c r="D38" s="139" t="e">
        <f>IF(D5="Underground",0,IF(D32&lt;=0,0,D4*D36*D37*(IF(D32&gt;=1,1,D32))*D33))</f>
        <v>#VALUE!</v>
      </c>
      <c r="E38" s="139" t="e">
        <f>IF(D5="Underground",0,IF(E32&lt;=0,0,E4*D36*E37*(IF(E32&gt;=1,1,E32))*E33))</f>
        <v>#VALUE!</v>
      </c>
      <c r="F38" s="139" t="e">
        <f>IF(D5="Underground",0,IF(F32&lt;=0,0,F4*D36*F37*(IF(F32&gt;=1,1,F32))*F33))</f>
        <v>#VALUE!</v>
      </c>
      <c r="G38" s="139" t="e">
        <f>IF(D5="Underground",0,IF(G32&lt;=0,0,G4*D36*G37*(IF(G32&gt;=1,1,G32))*G33))</f>
        <v>#VALUE!</v>
      </c>
      <c r="H38" s="139" t="e">
        <f>IF(D5="Underground",0,IF(H32&lt;=0,0,H4*D36*H37*(IF(H32&gt;=1,1,H32))*H33))</f>
        <v>#VALUE!</v>
      </c>
      <c r="I38" s="139" t="e">
        <f>IF(D5="Underground",0,IF(I32&lt;=0,0,I4*D36*I37*(IF(I32&gt;=1,1,I32))*I33))</f>
        <v>#VALUE!</v>
      </c>
      <c r="J38" s="139" t="e">
        <f>IF(D5="Underground",0,IF(J32&lt;=0,0,J4*D36*J37*(IF(J32&gt;=1,1,J32))*J33))</f>
        <v>#VALUE!</v>
      </c>
      <c r="K38" s="139" t="e">
        <f>IF(D5="Underground",0,IF(K32&lt;=0,0,K4*D36*K37*(IF(K32&gt;=1,1,K32))*K33))</f>
        <v>#VALUE!</v>
      </c>
      <c r="L38" s="139" t="e">
        <f>IF(D5="Underground",0,IF(L32&lt;=0,0,L4*D36*L37*(IF(L32&gt;=1,1,L32))*L33))</f>
        <v>#VALUE!</v>
      </c>
      <c r="M38" s="139" t="e">
        <f>IF(D5="Underground",0,IF(M32&lt;=0,0,M4*D36*M37*(IF(M32&gt;=1,1,M32))*M33))</f>
        <v>#VALUE!</v>
      </c>
      <c r="N38" s="139" t="e">
        <f>IF(D5="Underground",0,IF(N32&lt;=0,0,N4*D36*N37*(IF(N32&gt;=1,1,N32))*N33))</f>
        <v>#VALUE!</v>
      </c>
      <c r="O38" s="139" t="e">
        <f>IF(D5="Underground",0,IF(O32&lt;=0,0,O4*D36*O37*(IF(O32&gt;=1,1,O32))*O33))</f>
        <v>#VALUE!</v>
      </c>
      <c r="P38" s="108"/>
    </row>
    <row r="39" spans="1:16" ht="28.5" x14ac:dyDescent="0.25">
      <c r="A39" s="66">
        <v>34</v>
      </c>
      <c r="B39" s="67" t="s">
        <v>269</v>
      </c>
      <c r="C39" s="110" t="s">
        <v>200</v>
      </c>
      <c r="D39" s="101" t="e">
        <f>(('Tank Information'!B26*5.614)*D35*D34*D37*D28)*D4/365</f>
        <v>#VALUE!</v>
      </c>
      <c r="E39" s="101" t="e">
        <f>(('Tank Information'!B26*5.614)*D35*D34*E37*E28)*E4/365</f>
        <v>#VALUE!</v>
      </c>
      <c r="F39" s="101" t="e">
        <f>(('Tank Information'!B26*5.614)*D35*D34*F37*F28)*F4/365</f>
        <v>#VALUE!</v>
      </c>
      <c r="G39" s="101" t="e">
        <f>(('Tank Information'!B26*5.614)*D35*D34*G37*G28)*G4/365</f>
        <v>#VALUE!</v>
      </c>
      <c r="H39" s="101" t="e">
        <f>(('Tank Information'!B26*5.614)*D35*D34*H37*H28)*H4/365</f>
        <v>#VALUE!</v>
      </c>
      <c r="I39" s="101" t="e">
        <f>(('Tank Information'!B26*5.614)*D35*D34*I37*I28)*I4/365</f>
        <v>#VALUE!</v>
      </c>
      <c r="J39" s="101" t="e">
        <f>(('Tank Information'!B26*5.614)*D35*D34*J37*J28)*J4/365</f>
        <v>#VALUE!</v>
      </c>
      <c r="K39" s="101" t="e">
        <f>(('Tank Information'!B26*5.614)*D35*D34*K37*K28)*K4/365</f>
        <v>#VALUE!</v>
      </c>
      <c r="L39" s="101" t="e">
        <f>(('Tank Information'!B26*5.614)*D35*D34*L37*L28)*L4/365</f>
        <v>#VALUE!</v>
      </c>
      <c r="M39" s="101" t="e">
        <f>(('Tank Information'!B26*5.614)*D35*D34*M37*M28)*M4/365</f>
        <v>#VALUE!</v>
      </c>
      <c r="N39" s="101" t="e">
        <f>(('Tank Information'!B26*5.614)*D35*D34*N37*N28)*N4/365</f>
        <v>#VALUE!</v>
      </c>
      <c r="O39" s="101" t="e">
        <f>(('Tank Information'!B26*5.614)*D35*D34*O37*O28)*O4/365</f>
        <v>#VALUE!</v>
      </c>
      <c r="P39" s="108"/>
    </row>
    <row r="40" spans="1:16" ht="28.5" x14ac:dyDescent="0.25">
      <c r="A40" s="66">
        <v>35</v>
      </c>
      <c r="B40" s="67" t="s">
        <v>270</v>
      </c>
      <c r="C40" s="111" t="s">
        <v>201</v>
      </c>
      <c r="D40" s="101" t="e">
        <f t="shared" ref="D40:O40" si="5">SUM(D38:D39)</f>
        <v>#VALUE!</v>
      </c>
      <c r="E40" s="101" t="e">
        <f t="shared" si="5"/>
        <v>#VALUE!</v>
      </c>
      <c r="F40" s="101" t="e">
        <f t="shared" si="5"/>
        <v>#VALUE!</v>
      </c>
      <c r="G40" s="101" t="e">
        <f t="shared" si="5"/>
        <v>#VALUE!</v>
      </c>
      <c r="H40" s="101" t="e">
        <f t="shared" si="5"/>
        <v>#VALUE!</v>
      </c>
      <c r="I40" s="101" t="e">
        <f t="shared" si="5"/>
        <v>#VALUE!</v>
      </c>
      <c r="J40" s="101" t="e">
        <f t="shared" si="5"/>
        <v>#VALUE!</v>
      </c>
      <c r="K40" s="101" t="e">
        <f t="shared" si="5"/>
        <v>#VALUE!</v>
      </c>
      <c r="L40" s="101" t="e">
        <f t="shared" si="5"/>
        <v>#VALUE!</v>
      </c>
      <c r="M40" s="101" t="e">
        <f t="shared" si="5"/>
        <v>#VALUE!</v>
      </c>
      <c r="N40" s="101" t="e">
        <f t="shared" si="5"/>
        <v>#VALUE!</v>
      </c>
      <c r="O40" s="102" t="e">
        <f t="shared" si="5"/>
        <v>#VALUE!</v>
      </c>
      <c r="P40" s="108"/>
    </row>
    <row r="41" spans="1:16" ht="28.5" x14ac:dyDescent="0.25">
      <c r="A41" s="66">
        <v>36</v>
      </c>
      <c r="B41" s="85" t="s">
        <v>271</v>
      </c>
      <c r="C41" s="93" t="s">
        <v>202</v>
      </c>
      <c r="D41" s="337" t="e">
        <f>SUM(D38:O38)</f>
        <v>#VALUE!</v>
      </c>
      <c r="E41" s="338"/>
      <c r="F41" s="338"/>
      <c r="G41" s="338"/>
      <c r="H41" s="338"/>
      <c r="I41" s="338"/>
      <c r="J41" s="338"/>
      <c r="K41" s="338"/>
      <c r="L41" s="338"/>
      <c r="M41" s="338"/>
      <c r="N41" s="338"/>
      <c r="O41" s="339"/>
      <c r="P41" s="108"/>
    </row>
    <row r="42" spans="1:16" ht="28.5" x14ac:dyDescent="0.25">
      <c r="A42" s="66">
        <v>37</v>
      </c>
      <c r="B42" s="67" t="s">
        <v>272</v>
      </c>
      <c r="C42" s="110" t="s">
        <v>203</v>
      </c>
      <c r="D42" s="337" t="e">
        <f>SUM(D39:O39)</f>
        <v>#VALUE!</v>
      </c>
      <c r="E42" s="338"/>
      <c r="F42" s="338"/>
      <c r="G42" s="338"/>
      <c r="H42" s="338"/>
      <c r="I42" s="338"/>
      <c r="J42" s="338"/>
      <c r="K42" s="338"/>
      <c r="L42" s="338"/>
      <c r="M42" s="338"/>
      <c r="N42" s="338"/>
      <c r="O42" s="339"/>
      <c r="P42" s="108"/>
    </row>
    <row r="43" spans="1:16" ht="19.5" thickBot="1" x14ac:dyDescent="0.3">
      <c r="A43" s="66">
        <v>38</v>
      </c>
      <c r="B43" s="74" t="s">
        <v>273</v>
      </c>
      <c r="C43" s="112" t="s">
        <v>125</v>
      </c>
      <c r="D43" s="357" t="e">
        <f>SUM(D40:O40)</f>
        <v>#VALUE!</v>
      </c>
      <c r="E43" s="358"/>
      <c r="F43" s="358"/>
      <c r="G43" s="358"/>
      <c r="H43" s="358"/>
      <c r="I43" s="358"/>
      <c r="J43" s="358"/>
      <c r="K43" s="358"/>
      <c r="L43" s="358"/>
      <c r="M43" s="358"/>
      <c r="N43" s="358"/>
      <c r="O43" s="359"/>
    </row>
    <row r="44" spans="1:16" ht="28.5" x14ac:dyDescent="0.25">
      <c r="A44" s="66">
        <v>39</v>
      </c>
      <c r="B44" s="76"/>
      <c r="C44" s="109" t="s">
        <v>352</v>
      </c>
      <c r="D44" s="354" t="e">
        <f>D43/2000</f>
        <v>#VALUE!</v>
      </c>
      <c r="E44" s="355"/>
      <c r="F44" s="355"/>
      <c r="G44" s="355"/>
      <c r="H44" s="355"/>
      <c r="I44" s="355"/>
      <c r="J44" s="355"/>
      <c r="K44" s="355"/>
      <c r="L44" s="355"/>
      <c r="M44" s="355"/>
      <c r="N44" s="355"/>
      <c r="O44" s="356"/>
    </row>
    <row r="45" spans="1:16" ht="57" x14ac:dyDescent="0.25">
      <c r="A45" s="66">
        <v>40</v>
      </c>
      <c r="B45" s="67" t="s">
        <v>248</v>
      </c>
      <c r="C45" s="232" t="s">
        <v>387</v>
      </c>
      <c r="D45" s="101" t="e">
        <f>MAX(D13,95+459.67)</f>
        <v>#VALUE!</v>
      </c>
      <c r="E45" s="101" t="e">
        <f t="shared" ref="E45:O45" si="6">MAX(E13,95+459.67)</f>
        <v>#VALUE!</v>
      </c>
      <c r="F45" s="101" t="e">
        <f t="shared" si="6"/>
        <v>#VALUE!</v>
      </c>
      <c r="G45" s="101" t="e">
        <f t="shared" si="6"/>
        <v>#VALUE!</v>
      </c>
      <c r="H45" s="101" t="e">
        <f t="shared" si="6"/>
        <v>#VALUE!</v>
      </c>
      <c r="I45" s="101" t="e">
        <f t="shared" si="6"/>
        <v>#VALUE!</v>
      </c>
      <c r="J45" s="101" t="e">
        <f t="shared" si="6"/>
        <v>#VALUE!</v>
      </c>
      <c r="K45" s="101" t="e">
        <f t="shared" si="6"/>
        <v>#VALUE!</v>
      </c>
      <c r="L45" s="101" t="e">
        <f t="shared" si="6"/>
        <v>#VALUE!</v>
      </c>
      <c r="M45" s="101" t="e">
        <f t="shared" si="6"/>
        <v>#VALUE!</v>
      </c>
      <c r="N45" s="101" t="e">
        <f t="shared" si="6"/>
        <v>#VALUE!</v>
      </c>
      <c r="O45" s="101" t="e">
        <f t="shared" si="6"/>
        <v>#VALUE!</v>
      </c>
    </row>
    <row r="46" spans="1:16" ht="71.25" x14ac:dyDescent="0.25">
      <c r="A46" s="66">
        <v>41</v>
      </c>
      <c r="B46" s="67" t="s">
        <v>254</v>
      </c>
      <c r="C46" s="231" t="s">
        <v>388</v>
      </c>
      <c r="D46" s="101" t="e">
        <f>EXP(D20-(D21/D45))</f>
        <v>#VALUE!</v>
      </c>
      <c r="E46" s="101" t="e">
        <f>EXP(D20-(D21/MAX(E13,95+459.67)))</f>
        <v>#VALUE!</v>
      </c>
      <c r="F46" s="101" t="e">
        <f>EXP(D20-(D21/MAX(F13,95+459.67)))</f>
        <v>#VALUE!</v>
      </c>
      <c r="G46" s="101" t="e">
        <f>EXP(D20-(D21/MAX(G13,95+459.67)))</f>
        <v>#VALUE!</v>
      </c>
      <c r="H46" s="101" t="e">
        <f>EXP(D20-(D21/MAX(H13,95+459.67)))</f>
        <v>#VALUE!</v>
      </c>
      <c r="I46" s="101" t="e">
        <f>EXP(D20-(D21/MAX(I13,95+459.67)))</f>
        <v>#VALUE!</v>
      </c>
      <c r="J46" s="101" t="e">
        <f>EXP(D20-(D21/MAX(J13,95+459.67)))</f>
        <v>#VALUE!</v>
      </c>
      <c r="K46" s="101" t="e">
        <f>EXP(D20-(D21/MAX(K13,95+459.67)))</f>
        <v>#VALUE!</v>
      </c>
      <c r="L46" s="101" t="e">
        <f>EXP(D20-(D21/MAX(L13,95+459.67)))</f>
        <v>#VALUE!</v>
      </c>
      <c r="M46" s="101" t="e">
        <f>EXP(D20-(D21/MAX(M13,95+459.67)))</f>
        <v>#VALUE!</v>
      </c>
      <c r="N46" s="101" t="e">
        <f>EXP(D20-(D21/MAX(N13,95+459.67)))</f>
        <v>#VALUE!</v>
      </c>
      <c r="O46" s="101" t="e">
        <f>EXP(D20-(D21/MAX(O13,95+459.67)))</f>
        <v>#VALUE!</v>
      </c>
    </row>
    <row r="47" spans="1:16" ht="28.5" x14ac:dyDescent="0.25">
      <c r="A47" s="66">
        <v>42</v>
      </c>
      <c r="B47" s="67"/>
      <c r="C47" s="231" t="s">
        <v>398</v>
      </c>
      <c r="D47" s="214" t="e">
        <f>(((D18*D46)/(80.273*D45))*'Tank Information'!C27)</f>
        <v>#VALUE!</v>
      </c>
      <c r="E47" s="101" t="e">
        <f>(((D18*E46)/(80.273*E45))*'Tank Information'!C27)</f>
        <v>#VALUE!</v>
      </c>
      <c r="F47" s="101" t="e">
        <f>(((D18*F46)/(80.273*F45))*'Tank Information'!C27)</f>
        <v>#VALUE!</v>
      </c>
      <c r="G47" s="101" t="e">
        <f>(((D18*G46)/(80.273*G45))*'Tank Information'!C27)</f>
        <v>#VALUE!</v>
      </c>
      <c r="H47" s="101" t="e">
        <f>(((D18*H46)/(80.273*H45))*'Tank Information'!C27)</f>
        <v>#VALUE!</v>
      </c>
      <c r="I47" s="101" t="e">
        <f>(((D18*I46)/(80.273*I45))*'Tank Information'!C27)</f>
        <v>#VALUE!</v>
      </c>
      <c r="J47" s="101" t="e">
        <f>(((D18*J46)/(80.273*J45))*'Tank Information'!C27)</f>
        <v>#VALUE!</v>
      </c>
      <c r="K47" s="101" t="e">
        <f>(((D18*K46)/(80.273*K45))*'Tank Information'!C27)</f>
        <v>#VALUE!</v>
      </c>
      <c r="L47" s="101" t="e">
        <f>(((D18*L46)/(80.273*L45))*'Tank Information'!C27)</f>
        <v>#VALUE!</v>
      </c>
      <c r="M47" s="101" t="e">
        <f>(((D18*M46)/(80.273*M45))*'Tank Information'!C27)</f>
        <v>#VALUE!</v>
      </c>
      <c r="N47" s="101" t="e">
        <f>(((D18*N46)/(80.273*N45))*'Tank Information'!C27)</f>
        <v>#VALUE!</v>
      </c>
      <c r="O47" s="102" t="e">
        <f>(((D18*O46)/(80.273*O45))*'Tank Information'!C27)</f>
        <v>#VALUE!</v>
      </c>
      <c r="P47" s="108"/>
    </row>
    <row r="48" spans="1:16" ht="29.25" thickBot="1" x14ac:dyDescent="0.3">
      <c r="A48" s="66">
        <v>43</v>
      </c>
      <c r="B48" s="74" t="s">
        <v>274</v>
      </c>
      <c r="C48" s="112" t="s">
        <v>353</v>
      </c>
      <c r="D48" s="351" t="e">
        <f>MAX(D47:O47)</f>
        <v>#VALUE!</v>
      </c>
      <c r="E48" s="352"/>
      <c r="F48" s="352"/>
      <c r="G48" s="352"/>
      <c r="H48" s="352"/>
      <c r="I48" s="352"/>
      <c r="J48" s="352"/>
      <c r="K48" s="352"/>
      <c r="L48" s="352"/>
      <c r="M48" s="352"/>
      <c r="N48" s="352"/>
      <c r="O48" s="353"/>
    </row>
    <row r="49" spans="1:15" s="108" customFormat="1" x14ac:dyDescent="0.25">
      <c r="A49" s="342" t="s">
        <v>346</v>
      </c>
      <c r="B49" s="342"/>
      <c r="C49" s="342"/>
      <c r="D49" s="342"/>
      <c r="E49" s="342"/>
      <c r="F49" s="342"/>
      <c r="G49" s="342"/>
      <c r="H49" s="342"/>
      <c r="I49" s="342"/>
      <c r="J49" s="342"/>
      <c r="K49" s="342"/>
      <c r="L49" s="342"/>
      <c r="M49" s="342"/>
      <c r="N49" s="342"/>
      <c r="O49" s="342"/>
    </row>
    <row r="50" spans="1:15" s="108" customFormat="1" x14ac:dyDescent="0.25">
      <c r="A50" s="340" t="s">
        <v>302</v>
      </c>
      <c r="B50" s="340"/>
      <c r="C50" s="340"/>
      <c r="D50" s="340"/>
      <c r="E50" s="340"/>
      <c r="F50" s="340"/>
      <c r="G50" s="340"/>
      <c r="H50" s="340"/>
      <c r="I50" s="340"/>
      <c r="J50" s="340"/>
      <c r="K50" s="340"/>
      <c r="L50" s="340"/>
      <c r="M50" s="340"/>
      <c r="N50" s="340"/>
      <c r="O50" s="340"/>
    </row>
    <row r="51" spans="1:15" s="108" customFormat="1" ht="12.75" x14ac:dyDescent="0.25">
      <c r="A51" s="341" t="s">
        <v>301</v>
      </c>
      <c r="B51" s="341"/>
      <c r="C51" s="341"/>
      <c r="D51" s="341"/>
      <c r="E51" s="341"/>
      <c r="F51" s="341"/>
      <c r="G51" s="341"/>
      <c r="H51" s="341"/>
      <c r="I51" s="341"/>
      <c r="J51" s="341"/>
      <c r="K51" s="341"/>
      <c r="L51" s="341"/>
      <c r="M51" s="341"/>
      <c r="N51" s="341"/>
      <c r="O51" s="341"/>
    </row>
    <row r="52" spans="1:15" hidden="1" x14ac:dyDescent="0.25"/>
    <row r="53" spans="1:15" hidden="1" x14ac:dyDescent="0.25"/>
    <row r="54" spans="1:15" hidden="1" x14ac:dyDescent="0.25"/>
    <row r="55" spans="1:15" hidden="1" x14ac:dyDescent="0.25"/>
    <row r="56" spans="1:15" hidden="1" x14ac:dyDescent="0.25"/>
    <row r="57" spans="1:15" hidden="1" x14ac:dyDescent="0.25"/>
    <row r="58" spans="1:15" x14ac:dyDescent="0.25"/>
  </sheetData>
  <sheetProtection algorithmName="SHA-512" hashValue="CPIy8cMCYTOJlXHXyP0tWD7+kaa0doguuWhuz090FmGz+CDl0oUwohEylQ5DBmIw/SN6Y9BxXEuuh6D2QCAjrg==" saltValue="2aOhB1IXYIQMEche5/llTQ==" spinCount="100000" sheet="1" objects="1" scenarios="1" formatColumns="0" formatRows="0"/>
  <mergeCells count="24">
    <mergeCell ref="D20:O20"/>
    <mergeCell ref="D21:O21"/>
    <mergeCell ref="D5:O5"/>
    <mergeCell ref="D19:O19"/>
    <mergeCell ref="D41:O41"/>
    <mergeCell ref="D25:O25"/>
    <mergeCell ref="D26:O26"/>
    <mergeCell ref="D27:O27"/>
    <mergeCell ref="A1:O1"/>
    <mergeCell ref="D42:O42"/>
    <mergeCell ref="A50:O50"/>
    <mergeCell ref="A51:O51"/>
    <mergeCell ref="A49:O49"/>
    <mergeCell ref="A2:O2"/>
    <mergeCell ref="D17:O17"/>
    <mergeCell ref="D36:O36"/>
    <mergeCell ref="D48:O48"/>
    <mergeCell ref="D44:O44"/>
    <mergeCell ref="D43:O43"/>
    <mergeCell ref="D18:O18"/>
    <mergeCell ref="D35:O35"/>
    <mergeCell ref="D34:O34"/>
    <mergeCell ref="D30:O30"/>
    <mergeCell ref="D31:O31"/>
  </mergeCells>
  <hyperlinks>
    <hyperlink ref="A50:O50" location="'Equation Glossary'!A1" display="Click here to go to the Tank Glossary sheet." xr:uid="{00000000-0004-0000-0200-000000000000}"/>
  </hyperlinks>
  <printOptions horizontalCentered="1" gridLines="1"/>
  <pageMargins left="0.25" right="0.25" top="1" bottom="1" header="0.3" footer="0.3"/>
  <pageSetup orientation="landscape" r:id="rId1"/>
  <headerFooter>
    <oddHeader>&amp;LTCEQ Document No. 20897
Revised (08/21)&amp;C&amp;"-,Bold"Texas Commission on Environmental Quality
Fixed Roof Storage Tank Workbook
Calculated Emission Totals&amp;R&amp;D</oddHeader>
    <oddFooter>&amp;CPage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O51"/>
  <sheetViews>
    <sheetView showGridLines="0" zoomScaleNormal="100" workbookViewId="0">
      <selection sqref="A1:O1"/>
    </sheetView>
  </sheetViews>
  <sheetFormatPr defaultColWidth="0" defaultRowHeight="15" zeroHeight="1" x14ac:dyDescent="0.25"/>
  <cols>
    <col min="1" max="1" width="4.140625" style="114" bestFit="1" customWidth="1"/>
    <col min="2" max="2" width="8.28515625" style="114" bestFit="1" customWidth="1"/>
    <col min="3" max="3" width="25" style="115" customWidth="1"/>
    <col min="4" max="4" width="50.140625" style="116" customWidth="1"/>
    <col min="5" max="5" width="15.42578125" style="117" customWidth="1"/>
    <col min="6" max="6" width="9.140625" hidden="1" customWidth="1"/>
    <col min="7" max="16384" width="9.140625" hidden="1"/>
  </cols>
  <sheetData>
    <row r="1" spans="1:15" ht="15.75" thickBot="1" x14ac:dyDescent="0.3">
      <c r="A1" s="334" t="s">
        <v>417</v>
      </c>
      <c r="B1" s="335"/>
      <c r="C1" s="335"/>
      <c r="D1" s="335"/>
      <c r="E1" s="336"/>
      <c r="F1" s="336"/>
      <c r="G1" s="336"/>
      <c r="H1" s="336"/>
      <c r="I1" s="336"/>
      <c r="J1" s="336"/>
      <c r="K1" s="336"/>
      <c r="L1" s="336"/>
      <c r="M1" s="336"/>
      <c r="N1" s="336"/>
      <c r="O1" s="336"/>
    </row>
    <row r="2" spans="1:15" ht="18.75" thickBot="1" x14ac:dyDescent="0.3">
      <c r="A2" s="343" t="s">
        <v>240</v>
      </c>
      <c r="B2" s="344"/>
      <c r="C2" s="344"/>
      <c r="D2" s="344"/>
      <c r="E2" s="345"/>
    </row>
    <row r="3" spans="1:15" ht="15.75" thickBot="1" x14ac:dyDescent="0.3">
      <c r="A3" s="83" t="s">
        <v>238</v>
      </c>
      <c r="B3" s="60" t="s">
        <v>104</v>
      </c>
      <c r="C3" s="86" t="s">
        <v>90</v>
      </c>
      <c r="D3" s="61" t="s">
        <v>204</v>
      </c>
      <c r="E3" s="62" t="s">
        <v>210</v>
      </c>
    </row>
    <row r="4" spans="1:15" ht="18.75" x14ac:dyDescent="0.25">
      <c r="A4" s="236"/>
      <c r="B4" s="234" t="s">
        <v>399</v>
      </c>
      <c r="C4" s="87" t="s">
        <v>384</v>
      </c>
      <c r="D4" s="226"/>
      <c r="E4" s="227"/>
    </row>
    <row r="5" spans="1:15" ht="15.75" thickBot="1" x14ac:dyDescent="0.3">
      <c r="A5" s="237"/>
      <c r="B5" s="235"/>
      <c r="C5" s="228"/>
      <c r="D5" s="229"/>
      <c r="E5" s="230"/>
    </row>
    <row r="6" spans="1:15" ht="28.5" x14ac:dyDescent="0.25">
      <c r="A6" s="221">
        <v>1</v>
      </c>
      <c r="B6" s="63" t="s">
        <v>110</v>
      </c>
      <c r="C6" s="244" t="s">
        <v>409</v>
      </c>
      <c r="D6" s="64" t="s">
        <v>205</v>
      </c>
      <c r="E6" s="65" t="s">
        <v>230</v>
      </c>
    </row>
    <row r="7" spans="1:15" ht="42.75" x14ac:dyDescent="0.25">
      <c r="A7" s="66">
        <v>2</v>
      </c>
      <c r="B7" s="67" t="s">
        <v>242</v>
      </c>
      <c r="C7" s="88" t="s">
        <v>368</v>
      </c>
      <c r="D7" s="68" t="s">
        <v>205</v>
      </c>
      <c r="E7" s="69" t="s">
        <v>230</v>
      </c>
    </row>
    <row r="8" spans="1:15" ht="42.75" x14ac:dyDescent="0.25">
      <c r="A8" s="66">
        <v>3</v>
      </c>
      <c r="B8" s="67" t="s">
        <v>243</v>
      </c>
      <c r="C8" s="88" t="s">
        <v>369</v>
      </c>
      <c r="D8" s="68" t="s">
        <v>205</v>
      </c>
      <c r="E8" s="69" t="s">
        <v>230</v>
      </c>
    </row>
    <row r="9" spans="1:15" ht="28.5" x14ac:dyDescent="0.35">
      <c r="A9" s="66">
        <v>4</v>
      </c>
      <c r="B9" s="67" t="s">
        <v>244</v>
      </c>
      <c r="C9" s="88" t="s">
        <v>367</v>
      </c>
      <c r="D9" s="68" t="s">
        <v>275</v>
      </c>
      <c r="E9" s="70" t="s">
        <v>211</v>
      </c>
    </row>
    <row r="10" spans="1:15" ht="28.5" x14ac:dyDescent="0.35">
      <c r="A10" s="66">
        <v>5</v>
      </c>
      <c r="B10" s="67" t="s">
        <v>245</v>
      </c>
      <c r="C10" s="88" t="s">
        <v>136</v>
      </c>
      <c r="D10" s="68" t="s">
        <v>276</v>
      </c>
      <c r="E10" s="69" t="s">
        <v>216</v>
      </c>
    </row>
    <row r="11" spans="1:15" ht="37.5" x14ac:dyDescent="0.35">
      <c r="A11" s="66">
        <v>6</v>
      </c>
      <c r="B11" s="67" t="s">
        <v>246</v>
      </c>
      <c r="C11" s="88" t="s">
        <v>117</v>
      </c>
      <c r="D11" s="141" t="s">
        <v>414</v>
      </c>
      <c r="E11" s="69" t="s">
        <v>217</v>
      </c>
    </row>
    <row r="12" spans="1:15" ht="42.75" x14ac:dyDescent="0.25">
      <c r="A12" s="66">
        <v>7</v>
      </c>
      <c r="B12" s="67" t="s">
        <v>247</v>
      </c>
      <c r="C12" s="88" t="s">
        <v>137</v>
      </c>
      <c r="D12" s="239" t="s">
        <v>413</v>
      </c>
      <c r="E12" s="69" t="s">
        <v>215</v>
      </c>
    </row>
    <row r="13" spans="1:15" ht="42.75" x14ac:dyDescent="0.35">
      <c r="A13" s="66">
        <v>8</v>
      </c>
      <c r="B13" s="67" t="s">
        <v>248</v>
      </c>
      <c r="C13" s="88" t="s">
        <v>138</v>
      </c>
      <c r="D13" s="73" t="s">
        <v>277</v>
      </c>
      <c r="E13" s="69" t="s">
        <v>229</v>
      </c>
    </row>
    <row r="14" spans="1:15" ht="42.75" x14ac:dyDescent="0.35">
      <c r="A14" s="66">
        <v>9</v>
      </c>
      <c r="B14" s="67" t="s">
        <v>249</v>
      </c>
      <c r="C14" s="88" t="s">
        <v>139</v>
      </c>
      <c r="D14" s="73" t="s">
        <v>278</v>
      </c>
      <c r="E14" s="69" t="s">
        <v>229</v>
      </c>
    </row>
    <row r="15" spans="1:15" ht="33.75" x14ac:dyDescent="0.25">
      <c r="A15" s="66">
        <v>10</v>
      </c>
      <c r="B15" s="67" t="s">
        <v>348</v>
      </c>
      <c r="C15" s="88" t="s">
        <v>118</v>
      </c>
      <c r="D15" s="239" t="s">
        <v>415</v>
      </c>
      <c r="E15" s="69" t="s">
        <v>227</v>
      </c>
    </row>
    <row r="16" spans="1:15" ht="34.5" thickBot="1" x14ac:dyDescent="0.3">
      <c r="A16" s="66">
        <v>11</v>
      </c>
      <c r="B16" s="74" t="s">
        <v>250</v>
      </c>
      <c r="C16" s="89" t="s">
        <v>208</v>
      </c>
      <c r="D16" s="240" t="s">
        <v>412</v>
      </c>
      <c r="E16" s="75" t="s">
        <v>218</v>
      </c>
    </row>
    <row r="17" spans="1:5" ht="28.5" x14ac:dyDescent="0.25">
      <c r="A17" s="66">
        <v>12</v>
      </c>
      <c r="B17" s="76" t="s">
        <v>251</v>
      </c>
      <c r="C17" s="90" t="s">
        <v>192</v>
      </c>
      <c r="D17" s="77" t="s">
        <v>205</v>
      </c>
      <c r="E17" s="78" t="s">
        <v>230</v>
      </c>
    </row>
    <row r="18" spans="1:5" ht="28.5" x14ac:dyDescent="0.25">
      <c r="A18" s="66">
        <v>13</v>
      </c>
      <c r="B18" s="67" t="s">
        <v>252</v>
      </c>
      <c r="C18" s="88" t="s">
        <v>193</v>
      </c>
      <c r="D18" s="68" t="s">
        <v>206</v>
      </c>
      <c r="E18" s="69"/>
    </row>
    <row r="19" spans="1:5" ht="29.25" x14ac:dyDescent="0.25">
      <c r="A19" s="66">
        <v>14</v>
      </c>
      <c r="B19" s="67" t="s">
        <v>253</v>
      </c>
      <c r="C19" s="91" t="s">
        <v>196</v>
      </c>
      <c r="D19" s="68" t="s">
        <v>206</v>
      </c>
      <c r="E19" s="69"/>
    </row>
    <row r="20" spans="1:5" ht="28.5" x14ac:dyDescent="0.25">
      <c r="A20" s="66">
        <v>15</v>
      </c>
      <c r="B20" s="67" t="s">
        <v>198</v>
      </c>
      <c r="C20" s="88" t="s">
        <v>152</v>
      </c>
      <c r="D20" s="68" t="s">
        <v>206</v>
      </c>
      <c r="E20" s="69"/>
    </row>
    <row r="21" spans="1:5" ht="28.5" x14ac:dyDescent="0.25">
      <c r="A21" s="66">
        <v>16</v>
      </c>
      <c r="B21" s="67" t="s">
        <v>197</v>
      </c>
      <c r="C21" s="88" t="s">
        <v>153</v>
      </c>
      <c r="D21" s="68" t="s">
        <v>206</v>
      </c>
      <c r="E21" s="69"/>
    </row>
    <row r="22" spans="1:5" ht="57" x14ac:dyDescent="0.35">
      <c r="A22" s="66">
        <v>17</v>
      </c>
      <c r="B22" s="67" t="s">
        <v>327</v>
      </c>
      <c r="C22" s="88" t="s">
        <v>155</v>
      </c>
      <c r="D22" s="68" t="s">
        <v>279</v>
      </c>
      <c r="E22" s="69" t="s">
        <v>214</v>
      </c>
    </row>
    <row r="23" spans="1:5" ht="57" x14ac:dyDescent="0.35">
      <c r="A23" s="66">
        <v>18</v>
      </c>
      <c r="B23" s="67" t="s">
        <v>254</v>
      </c>
      <c r="C23" s="88" t="s">
        <v>179</v>
      </c>
      <c r="D23" s="68" t="s">
        <v>280</v>
      </c>
      <c r="E23" s="69" t="s">
        <v>228</v>
      </c>
    </row>
    <row r="24" spans="1:5" ht="57" x14ac:dyDescent="0.35">
      <c r="A24" s="66">
        <v>19</v>
      </c>
      <c r="B24" s="67" t="s">
        <v>255</v>
      </c>
      <c r="C24" s="88" t="s">
        <v>180</v>
      </c>
      <c r="D24" s="68" t="s">
        <v>281</v>
      </c>
      <c r="E24" s="69" t="s">
        <v>228</v>
      </c>
    </row>
    <row r="25" spans="1:5" ht="28.5" x14ac:dyDescent="0.25">
      <c r="A25" s="66">
        <v>20</v>
      </c>
      <c r="B25" s="67" t="s">
        <v>256</v>
      </c>
      <c r="C25" s="88" t="s">
        <v>91</v>
      </c>
      <c r="D25" s="68" t="s">
        <v>235</v>
      </c>
      <c r="E25" s="69" t="s">
        <v>226</v>
      </c>
    </row>
    <row r="26" spans="1:5" ht="28.5" x14ac:dyDescent="0.25">
      <c r="A26" s="66">
        <v>21</v>
      </c>
      <c r="B26" s="67" t="s">
        <v>257</v>
      </c>
      <c r="C26" s="88" t="s">
        <v>92</v>
      </c>
      <c r="D26" s="68" t="s">
        <v>236</v>
      </c>
      <c r="E26" s="69" t="s">
        <v>226</v>
      </c>
    </row>
    <row r="27" spans="1:5" ht="28.5" x14ac:dyDescent="0.35">
      <c r="A27" s="66">
        <v>22</v>
      </c>
      <c r="B27" s="67" t="s">
        <v>195</v>
      </c>
      <c r="C27" s="88" t="s">
        <v>135</v>
      </c>
      <c r="D27" s="68" t="s">
        <v>282</v>
      </c>
      <c r="E27" s="69" t="s">
        <v>226</v>
      </c>
    </row>
    <row r="28" spans="1:5" ht="123" x14ac:dyDescent="0.25">
      <c r="A28" s="66">
        <v>23</v>
      </c>
      <c r="B28" s="67" t="s">
        <v>258</v>
      </c>
      <c r="C28" s="88" t="s">
        <v>145</v>
      </c>
      <c r="D28" s="72" t="s">
        <v>349</v>
      </c>
      <c r="E28" s="69" t="s">
        <v>219</v>
      </c>
    </row>
    <row r="29" spans="1:5" ht="28.5" x14ac:dyDescent="0.35">
      <c r="A29" s="66">
        <v>24</v>
      </c>
      <c r="B29" s="67" t="s">
        <v>259</v>
      </c>
      <c r="C29" s="88" t="s">
        <v>93</v>
      </c>
      <c r="D29" s="68" t="s">
        <v>283</v>
      </c>
      <c r="E29" s="69" t="s">
        <v>225</v>
      </c>
    </row>
    <row r="30" spans="1:5" ht="56.25" x14ac:dyDescent="0.35">
      <c r="A30" s="66">
        <v>25</v>
      </c>
      <c r="B30" s="67" t="s">
        <v>260</v>
      </c>
      <c r="C30" s="88" t="s">
        <v>94</v>
      </c>
      <c r="D30" s="71" t="s">
        <v>366</v>
      </c>
      <c r="E30" s="79" t="s">
        <v>212</v>
      </c>
    </row>
    <row r="31" spans="1:5" ht="131.25" x14ac:dyDescent="0.35">
      <c r="A31" s="66">
        <v>26</v>
      </c>
      <c r="B31" s="67" t="s">
        <v>261</v>
      </c>
      <c r="C31" s="88" t="s">
        <v>95</v>
      </c>
      <c r="D31" s="141" t="s">
        <v>410</v>
      </c>
      <c r="E31" s="143" t="s">
        <v>378</v>
      </c>
    </row>
    <row r="32" spans="1:5" ht="28.5" x14ac:dyDescent="0.35">
      <c r="A32" s="66">
        <v>27</v>
      </c>
      <c r="B32" s="67" t="s">
        <v>262</v>
      </c>
      <c r="C32" s="88" t="s">
        <v>124</v>
      </c>
      <c r="D32" s="68" t="s">
        <v>350</v>
      </c>
      <c r="E32" s="69" t="s">
        <v>221</v>
      </c>
    </row>
    <row r="33" spans="1:5" ht="28.5" x14ac:dyDescent="0.35">
      <c r="A33" s="66">
        <v>28</v>
      </c>
      <c r="B33" s="67" t="s">
        <v>263</v>
      </c>
      <c r="C33" s="88" t="s">
        <v>97</v>
      </c>
      <c r="D33" s="68" t="s">
        <v>284</v>
      </c>
      <c r="E33" s="69" t="s">
        <v>213</v>
      </c>
    </row>
    <row r="34" spans="1:5" ht="43.5" x14ac:dyDescent="0.25">
      <c r="A34" s="66">
        <v>29</v>
      </c>
      <c r="B34" s="67" t="s">
        <v>264</v>
      </c>
      <c r="C34" s="88" t="s">
        <v>98</v>
      </c>
      <c r="D34" s="71" t="s">
        <v>351</v>
      </c>
      <c r="E34" s="69" t="s">
        <v>222</v>
      </c>
    </row>
    <row r="35" spans="1:5" ht="29.25" x14ac:dyDescent="0.25">
      <c r="A35" s="66">
        <v>30</v>
      </c>
      <c r="B35" s="67" t="s">
        <v>265</v>
      </c>
      <c r="C35" s="88" t="s">
        <v>96</v>
      </c>
      <c r="D35" s="71" t="s">
        <v>207</v>
      </c>
      <c r="E35" s="69" t="s">
        <v>223</v>
      </c>
    </row>
    <row r="36" spans="1:5" ht="51.75" x14ac:dyDescent="0.35">
      <c r="A36" s="66">
        <v>31</v>
      </c>
      <c r="B36" s="67" t="s">
        <v>266</v>
      </c>
      <c r="C36" s="88" t="s">
        <v>99</v>
      </c>
      <c r="D36" s="141" t="s">
        <v>411</v>
      </c>
      <c r="E36" s="142" t="s">
        <v>220</v>
      </c>
    </row>
    <row r="37" spans="1:5" ht="34.5" thickBot="1" x14ac:dyDescent="0.3">
      <c r="A37" s="66">
        <v>32</v>
      </c>
      <c r="B37" s="74" t="s">
        <v>267</v>
      </c>
      <c r="C37" s="89" t="s">
        <v>126</v>
      </c>
      <c r="D37" s="80" t="s">
        <v>285</v>
      </c>
      <c r="E37" s="75" t="s">
        <v>224</v>
      </c>
    </row>
    <row r="38" spans="1:5" ht="28.5" x14ac:dyDescent="0.35">
      <c r="A38" s="66">
        <v>33</v>
      </c>
      <c r="B38" s="76" t="s">
        <v>268</v>
      </c>
      <c r="C38" s="92" t="s">
        <v>199</v>
      </c>
      <c r="D38" s="233" t="s">
        <v>400</v>
      </c>
      <c r="E38" s="78" t="s">
        <v>231</v>
      </c>
    </row>
    <row r="39" spans="1:5" ht="52.5" x14ac:dyDescent="0.25">
      <c r="A39" s="66">
        <v>34</v>
      </c>
      <c r="B39" s="67" t="s">
        <v>269</v>
      </c>
      <c r="C39" s="93" t="s">
        <v>200</v>
      </c>
      <c r="D39" s="141" t="s">
        <v>401</v>
      </c>
      <c r="E39" s="69" t="s">
        <v>222</v>
      </c>
    </row>
    <row r="40" spans="1:5" ht="28.5" x14ac:dyDescent="0.35">
      <c r="A40" s="66">
        <v>35</v>
      </c>
      <c r="B40" s="67" t="s">
        <v>270</v>
      </c>
      <c r="C40" s="93" t="s">
        <v>201</v>
      </c>
      <c r="D40" s="68" t="s">
        <v>286</v>
      </c>
      <c r="E40" s="69" t="s">
        <v>232</v>
      </c>
    </row>
    <row r="41" spans="1:5" ht="28.5" x14ac:dyDescent="0.25">
      <c r="A41" s="66">
        <v>36</v>
      </c>
      <c r="B41" s="67" t="s">
        <v>271</v>
      </c>
      <c r="C41" s="93" t="s">
        <v>202</v>
      </c>
      <c r="D41" s="68" t="s">
        <v>233</v>
      </c>
      <c r="E41" s="69"/>
    </row>
    <row r="42" spans="1:5" ht="18.75" x14ac:dyDescent="0.25">
      <c r="A42" s="66">
        <v>37</v>
      </c>
      <c r="B42" s="67" t="s">
        <v>272</v>
      </c>
      <c r="C42" s="93" t="s">
        <v>203</v>
      </c>
      <c r="D42" s="68" t="s">
        <v>233</v>
      </c>
      <c r="E42" s="69"/>
    </row>
    <row r="43" spans="1:5" ht="19.5" thickBot="1" x14ac:dyDescent="0.4">
      <c r="A43" s="66">
        <v>38</v>
      </c>
      <c r="B43" s="74" t="s">
        <v>273</v>
      </c>
      <c r="C43" s="94" t="s">
        <v>125</v>
      </c>
      <c r="D43" s="81" t="s">
        <v>287</v>
      </c>
      <c r="E43" s="75" t="s">
        <v>232</v>
      </c>
    </row>
    <row r="44" spans="1:5" ht="28.5" x14ac:dyDescent="0.35">
      <c r="A44" s="66">
        <v>39</v>
      </c>
      <c r="B44" s="76"/>
      <c r="C44" s="109" t="s">
        <v>352</v>
      </c>
      <c r="D44" s="77" t="s">
        <v>288</v>
      </c>
      <c r="E44" s="78"/>
    </row>
    <row r="45" spans="1:5" ht="42.75" x14ac:dyDescent="0.25">
      <c r="A45" s="66">
        <v>40</v>
      </c>
      <c r="B45" s="216" t="s">
        <v>392</v>
      </c>
      <c r="C45" s="217" t="s">
        <v>387</v>
      </c>
      <c r="D45" s="218" t="s">
        <v>389</v>
      </c>
      <c r="E45" s="142" t="s">
        <v>373</v>
      </c>
    </row>
    <row r="46" spans="1:5" ht="57" x14ac:dyDescent="0.35">
      <c r="A46" s="66">
        <v>41</v>
      </c>
      <c r="B46" s="216" t="s">
        <v>393</v>
      </c>
      <c r="C46" s="213" t="s">
        <v>388</v>
      </c>
      <c r="D46" s="170" t="s">
        <v>391</v>
      </c>
      <c r="E46" s="143" t="s">
        <v>390</v>
      </c>
    </row>
    <row r="47" spans="1:5" ht="52.5" x14ac:dyDescent="0.25">
      <c r="A47" s="66">
        <v>42</v>
      </c>
      <c r="B47" s="67"/>
      <c r="C47" s="110" t="s">
        <v>354</v>
      </c>
      <c r="D47" s="71" t="s">
        <v>289</v>
      </c>
      <c r="E47" s="142" t="s">
        <v>373</v>
      </c>
    </row>
    <row r="48" spans="1:5" ht="29.25" thickBot="1" x14ac:dyDescent="0.3">
      <c r="A48" s="66">
        <v>43</v>
      </c>
      <c r="B48" s="74" t="s">
        <v>274</v>
      </c>
      <c r="C48" s="112" t="s">
        <v>353</v>
      </c>
      <c r="D48" s="81" t="s">
        <v>290</v>
      </c>
      <c r="E48" s="75" t="s">
        <v>373</v>
      </c>
    </row>
    <row r="49" spans="1:5" s="113" customFormat="1" x14ac:dyDescent="0.25">
      <c r="A49" s="378" t="s">
        <v>346</v>
      </c>
      <c r="B49" s="378"/>
      <c r="C49" s="378"/>
      <c r="D49" s="378"/>
      <c r="E49" s="378"/>
    </row>
    <row r="50" spans="1:5" s="113" customFormat="1" x14ac:dyDescent="0.25">
      <c r="A50" s="377" t="s">
        <v>304</v>
      </c>
      <c r="B50" s="377"/>
      <c r="C50" s="377"/>
      <c r="D50" s="377"/>
      <c r="E50" s="377"/>
    </row>
    <row r="51" spans="1:5" x14ac:dyDescent="0.25">
      <c r="A51" s="376" t="s">
        <v>301</v>
      </c>
      <c r="B51" s="376"/>
      <c r="C51" s="376"/>
      <c r="D51" s="376"/>
      <c r="E51" s="376"/>
    </row>
  </sheetData>
  <sheetProtection algorithmName="SHA-512" hashValue="zqV4c4+v1vcglP/lpdgbeTwCAoxz6eaJNdohPQGO5tGo7orF8SLq6OjwYGcPnBTSvrcFFFyRM/R5RV8sQDGAYQ==" saltValue="ELGh2M3s+kEr5g30j29ENA==" spinCount="100000" sheet="1" objects="1" scenarios="1" formatColumns="0" formatRows="0"/>
  <mergeCells count="5">
    <mergeCell ref="A2:E2"/>
    <mergeCell ref="A51:E51"/>
    <mergeCell ref="A50:E50"/>
    <mergeCell ref="A49:E49"/>
    <mergeCell ref="A1:O1"/>
  </mergeCells>
  <hyperlinks>
    <hyperlink ref="A50:E50" location="Cover!A1" display="Click here to go back to the Cover sheet." xr:uid="{00000000-0004-0000-0300-000000000000}"/>
  </hyperlinks>
  <printOptions horizontalCentered="1" gridLines="1"/>
  <pageMargins left="0.25" right="0.25" top="1" bottom="1" header="0.3" footer="0.3"/>
  <pageSetup orientation="portrait" r:id="rId1"/>
  <headerFooter>
    <oddHeader>&amp;LTCEQ Document No. 20897
Revised (08/21)&amp;C&amp;"-,Bold"Texas Commission on Environmental Quality
Fixed Roof Storage Tank Workbook
Equation Glossary&amp;R&amp;D</oddHeader>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sheetPr>
  <dimension ref="A1:U19"/>
  <sheetViews>
    <sheetView workbookViewId="0">
      <pane xSplit="1" ySplit="2" topLeftCell="H3" activePane="bottomRight" state="frozen"/>
      <selection pane="topRight" activeCell="C1" sqref="C1"/>
      <selection pane="bottomLeft" activeCell="A3" sqref="A3"/>
      <selection pane="bottomRight" activeCell="S18" sqref="S18"/>
    </sheetView>
  </sheetViews>
  <sheetFormatPr defaultColWidth="9.140625" defaultRowHeight="12.75" x14ac:dyDescent="0.2"/>
  <cols>
    <col min="1" max="1" width="19.5703125" style="1" bestFit="1" customWidth="1"/>
    <col min="2" max="2" width="10.42578125" style="1" bestFit="1" customWidth="1"/>
    <col min="3" max="10" width="9.140625" style="1" customWidth="1"/>
    <col min="11" max="11" width="13.140625" style="1" customWidth="1"/>
    <col min="12" max="12" width="20" style="1" customWidth="1"/>
    <col min="13" max="13" width="9.42578125" style="1" bestFit="1" customWidth="1"/>
    <col min="14" max="14" width="10.7109375" style="1" bestFit="1" customWidth="1"/>
    <col min="15" max="15" width="13.42578125" style="1" bestFit="1" customWidth="1"/>
    <col min="16" max="19" width="9.140625" style="1" customWidth="1"/>
    <col min="20" max="20" width="28.28515625" style="1" customWidth="1"/>
    <col min="21" max="16384" width="9.140625" style="1"/>
  </cols>
  <sheetData>
    <row r="1" spans="1:21" ht="12.75" customHeight="1" x14ac:dyDescent="0.2">
      <c r="A1" s="5"/>
      <c r="B1" s="5"/>
      <c r="C1" s="5"/>
      <c r="D1" s="5"/>
      <c r="E1" s="380" t="s">
        <v>25</v>
      </c>
      <c r="F1" s="380"/>
      <c r="G1" s="380"/>
      <c r="H1" s="380"/>
      <c r="I1" s="380"/>
      <c r="J1" s="5"/>
      <c r="K1" s="5"/>
      <c r="L1" s="5"/>
      <c r="M1" s="379" t="s">
        <v>24</v>
      </c>
      <c r="N1" s="379"/>
      <c r="O1" s="379"/>
    </row>
    <row r="2" spans="1:21" s="4" customFormat="1" ht="76.5" x14ac:dyDescent="0.2">
      <c r="A2" s="6" t="s">
        <v>23</v>
      </c>
      <c r="B2" s="6" t="s">
        <v>361</v>
      </c>
      <c r="C2" s="6" t="s">
        <v>365</v>
      </c>
      <c r="D2" s="6" t="s">
        <v>362</v>
      </c>
      <c r="E2" s="6" t="s">
        <v>363</v>
      </c>
      <c r="F2" s="6" t="s">
        <v>364</v>
      </c>
      <c r="G2" s="6" t="s">
        <v>22</v>
      </c>
      <c r="H2" s="6" t="s">
        <v>21</v>
      </c>
      <c r="I2" s="6" t="s">
        <v>20</v>
      </c>
      <c r="J2" s="6" t="s">
        <v>19</v>
      </c>
      <c r="K2" s="6" t="s">
        <v>18</v>
      </c>
      <c r="L2" s="6" t="s">
        <v>17</v>
      </c>
      <c r="M2" s="5" t="s">
        <v>16</v>
      </c>
      <c r="N2" s="5" t="s">
        <v>15</v>
      </c>
      <c r="O2" s="5" t="s">
        <v>14</v>
      </c>
      <c r="P2" s="4" t="s">
        <v>96</v>
      </c>
      <c r="Q2" s="4" t="s">
        <v>127</v>
      </c>
      <c r="R2" s="4" t="s">
        <v>154</v>
      </c>
      <c r="S2" s="4" t="s">
        <v>128</v>
      </c>
      <c r="U2" s="219" t="s">
        <v>204</v>
      </c>
    </row>
    <row r="3" spans="1:21" x14ac:dyDescent="0.2">
      <c r="A3" s="3" t="s">
        <v>325</v>
      </c>
      <c r="B3" s="2">
        <v>50</v>
      </c>
      <c r="C3" s="2">
        <v>7.1</v>
      </c>
      <c r="D3" s="2">
        <v>2.8</v>
      </c>
      <c r="E3" s="22">
        <f>12.82-(0.9672*LN(5))</f>
        <v>11.263351651093739</v>
      </c>
      <c r="F3" s="25">
        <f>7261-(1216*LN(5))</f>
        <v>5303.9234984801342</v>
      </c>
      <c r="G3" s="2"/>
      <c r="H3" s="2"/>
      <c r="I3" s="2"/>
      <c r="J3" s="2"/>
      <c r="K3" s="2">
        <v>5</v>
      </c>
      <c r="L3" s="2"/>
      <c r="M3" s="2"/>
      <c r="N3" s="2"/>
      <c r="O3" s="2"/>
      <c r="P3" s="1">
        <v>0.75</v>
      </c>
      <c r="Q3" s="23">
        <f>12.82-(0.9672*LN(5))</f>
        <v>11.263351651093739</v>
      </c>
      <c r="S3" s="26"/>
      <c r="T3" s="3" t="s">
        <v>13</v>
      </c>
    </row>
    <row r="4" spans="1:21" x14ac:dyDescent="0.2">
      <c r="A4" s="2" t="s">
        <v>358</v>
      </c>
      <c r="B4" s="2" t="s">
        <v>159</v>
      </c>
      <c r="C4" s="2"/>
      <c r="D4" s="2" t="str">
        <f>IF(K4=0, "Input RVP",EXP((((2799/519.6)-2.227)*(LOG10(K4))-(7261/519.6)+12.82)))</f>
        <v>Input RVP</v>
      </c>
      <c r="E4" s="22" t="str">
        <f>IF(K4=0, "Input RVP",12.82-(0.9672*LN(K4)))</f>
        <v>Input RVP</v>
      </c>
      <c r="F4" s="25" t="str">
        <f>IF(K4=0, "Input RVP",7261-(1216*LN(K4)))</f>
        <v>Input RVP</v>
      </c>
      <c r="G4" s="2"/>
      <c r="H4" s="2"/>
      <c r="I4" s="2"/>
      <c r="J4" s="2"/>
      <c r="K4" s="2">
        <f>'Tank Information'!C50</f>
        <v>0</v>
      </c>
      <c r="L4" s="2"/>
      <c r="M4" s="2"/>
      <c r="N4" s="2"/>
      <c r="O4" s="2"/>
      <c r="P4" s="1">
        <v>0.75</v>
      </c>
      <c r="Q4" s="23"/>
      <c r="S4" s="26"/>
      <c r="T4" s="3"/>
    </row>
    <row r="5" spans="1:21" x14ac:dyDescent="0.2">
      <c r="A5" s="3" t="s">
        <v>12</v>
      </c>
      <c r="B5" s="2">
        <v>66</v>
      </c>
      <c r="C5" s="2">
        <v>5.6</v>
      </c>
      <c r="D5" s="2">
        <v>5.2</v>
      </c>
      <c r="E5" s="18">
        <v>11.724</v>
      </c>
      <c r="F5" s="24">
        <v>5237.3</v>
      </c>
      <c r="G5" s="2"/>
      <c r="H5" s="2"/>
      <c r="I5" s="2"/>
      <c r="J5" s="2"/>
      <c r="K5" s="2">
        <v>10</v>
      </c>
      <c r="L5" s="2"/>
      <c r="M5" s="2"/>
      <c r="N5" s="2"/>
      <c r="O5" s="2"/>
      <c r="P5" s="1">
        <v>1</v>
      </c>
      <c r="Q5" s="22">
        <v>11.724</v>
      </c>
      <c r="R5" s="18">
        <v>2636.46</v>
      </c>
      <c r="T5" s="3" t="s">
        <v>12</v>
      </c>
    </row>
    <row r="6" spans="1:21" x14ac:dyDescent="0.2">
      <c r="A6" s="3" t="s">
        <v>10</v>
      </c>
      <c r="B6" s="2">
        <v>62</v>
      </c>
      <c r="C6" s="2">
        <v>5.6</v>
      </c>
      <c r="D6" s="2">
        <v>7</v>
      </c>
      <c r="E6" s="18">
        <v>11.644</v>
      </c>
      <c r="F6" s="24">
        <v>5043.6000000000004</v>
      </c>
      <c r="G6" s="2"/>
      <c r="H6" s="2"/>
      <c r="I6" s="2"/>
      <c r="J6" s="2"/>
      <c r="K6" s="2">
        <v>13</v>
      </c>
      <c r="L6" s="2"/>
      <c r="M6" s="2"/>
      <c r="N6" s="2"/>
      <c r="O6" s="2"/>
      <c r="P6" s="1">
        <v>1</v>
      </c>
      <c r="Q6" s="22">
        <v>11.644</v>
      </c>
      <c r="R6" s="18">
        <v>2528.85</v>
      </c>
      <c r="T6" s="3" t="s">
        <v>10</v>
      </c>
    </row>
    <row r="7" spans="1:21" x14ac:dyDescent="0.2">
      <c r="A7" s="3" t="s">
        <v>7</v>
      </c>
      <c r="B7" s="2">
        <v>68</v>
      </c>
      <c r="C7" s="2">
        <v>5.6</v>
      </c>
      <c r="D7" s="2">
        <v>3.5</v>
      </c>
      <c r="E7" s="18">
        <v>11.833</v>
      </c>
      <c r="F7" s="24">
        <v>5500.6</v>
      </c>
      <c r="G7" s="2"/>
      <c r="H7" s="2"/>
      <c r="I7" s="2"/>
      <c r="J7" s="2"/>
      <c r="K7" s="2">
        <v>7</v>
      </c>
      <c r="L7" s="2"/>
      <c r="M7" s="2"/>
      <c r="N7" s="2"/>
      <c r="O7" s="2"/>
      <c r="P7" s="1">
        <v>1</v>
      </c>
      <c r="Q7" s="22">
        <v>11.833</v>
      </c>
      <c r="R7" s="18">
        <v>2782.74</v>
      </c>
      <c r="T7" s="3" t="s">
        <v>7</v>
      </c>
    </row>
    <row r="8" spans="1:21" x14ac:dyDescent="0.2">
      <c r="A8" s="3" t="s">
        <v>323</v>
      </c>
      <c r="B8" s="2">
        <v>130</v>
      </c>
      <c r="C8" s="2">
        <v>7</v>
      </c>
      <c r="D8" s="2">
        <v>8.0000000000000002E-3</v>
      </c>
      <c r="E8" s="18">
        <v>12.39</v>
      </c>
      <c r="F8" s="24">
        <v>8933</v>
      </c>
      <c r="G8" s="2"/>
      <c r="H8" s="2"/>
      <c r="I8" s="2"/>
      <c r="J8" s="2"/>
      <c r="K8" s="2"/>
      <c r="L8" s="2"/>
      <c r="M8" s="2"/>
      <c r="N8" s="2"/>
      <c r="O8" s="2"/>
      <c r="P8" s="1">
        <v>1</v>
      </c>
      <c r="Q8" s="22">
        <v>12.39</v>
      </c>
      <c r="R8" s="18">
        <v>4689.63</v>
      </c>
      <c r="T8" s="3" t="s">
        <v>4</v>
      </c>
    </row>
    <row r="9" spans="1:21" x14ac:dyDescent="0.2">
      <c r="A9" s="3" t="s">
        <v>324</v>
      </c>
      <c r="B9" s="2">
        <v>80</v>
      </c>
      <c r="C9" s="2">
        <v>6.4</v>
      </c>
      <c r="D9" s="2">
        <v>1.3</v>
      </c>
      <c r="E9" s="18">
        <v>11.368</v>
      </c>
      <c r="F9" s="24">
        <v>5784.3</v>
      </c>
      <c r="G9" s="2"/>
      <c r="H9" s="2"/>
      <c r="I9" s="2"/>
      <c r="J9" s="2"/>
      <c r="K9" s="2"/>
      <c r="L9" s="2"/>
      <c r="M9" s="2"/>
      <c r="N9" s="2"/>
      <c r="O9" s="2"/>
      <c r="P9" s="1">
        <v>1</v>
      </c>
      <c r="Q9" s="22">
        <v>11.368</v>
      </c>
      <c r="R9" s="18">
        <v>2940.35</v>
      </c>
      <c r="T9" s="3" t="s">
        <v>3</v>
      </c>
    </row>
    <row r="10" spans="1:21" x14ac:dyDescent="0.2">
      <c r="A10" s="2" t="s">
        <v>1</v>
      </c>
      <c r="B10" s="2">
        <v>130</v>
      </c>
      <c r="C10" s="2">
        <v>7.1</v>
      </c>
      <c r="D10" s="2">
        <v>6.0000000000000001E-3</v>
      </c>
      <c r="E10" s="18">
        <v>12.101000000000001</v>
      </c>
      <c r="F10" s="24">
        <v>8907</v>
      </c>
      <c r="G10" s="2"/>
      <c r="H10" s="2"/>
      <c r="I10" s="2"/>
      <c r="J10" s="2"/>
      <c r="K10" s="2"/>
      <c r="L10" s="2"/>
      <c r="M10" s="2"/>
      <c r="N10" s="2"/>
      <c r="O10" s="2"/>
      <c r="P10" s="1">
        <v>1</v>
      </c>
      <c r="Q10" s="22">
        <v>12.101000000000001</v>
      </c>
      <c r="R10" s="18">
        <v>4675.18</v>
      </c>
      <c r="T10" s="2" t="s">
        <v>1</v>
      </c>
    </row>
    <row r="11" spans="1:21" x14ac:dyDescent="0.2">
      <c r="A11" s="2" t="s">
        <v>0</v>
      </c>
      <c r="B11" s="2">
        <v>130</v>
      </c>
      <c r="C11" s="2">
        <v>7.9</v>
      </c>
      <c r="D11" s="2">
        <v>2E-3</v>
      </c>
      <c r="E11" s="18">
        <v>10.781000000000001</v>
      </c>
      <c r="F11" s="24">
        <v>8933</v>
      </c>
      <c r="G11" s="2"/>
      <c r="H11" s="2"/>
      <c r="I11" s="2"/>
      <c r="J11" s="2"/>
      <c r="K11" s="2"/>
      <c r="L11" s="2"/>
      <c r="M11" s="2"/>
      <c r="N11" s="2"/>
      <c r="O11" s="2"/>
      <c r="P11" s="1">
        <v>1</v>
      </c>
      <c r="Q11" s="22">
        <v>10.781000000000001</v>
      </c>
      <c r="R11" s="18">
        <v>4689.63</v>
      </c>
      <c r="T11" s="2" t="s">
        <v>0</v>
      </c>
    </row>
    <row r="12" spans="1:21" x14ac:dyDescent="0.2">
      <c r="A12" s="2" t="s">
        <v>2</v>
      </c>
      <c r="B12" s="2">
        <v>128.16999999999999</v>
      </c>
      <c r="C12" s="2">
        <v>8.56</v>
      </c>
      <c r="D12" s="2">
        <v>2.3999999999999998E-3</v>
      </c>
      <c r="E12" s="18">
        <v>7.1459999999999999</v>
      </c>
      <c r="F12" s="25">
        <v>3788.55</v>
      </c>
      <c r="G12" s="2">
        <v>211.82</v>
      </c>
      <c r="H12" s="2">
        <v>177</v>
      </c>
      <c r="I12" s="2">
        <v>354</v>
      </c>
      <c r="J12" s="2">
        <v>422</v>
      </c>
      <c r="K12" s="2"/>
      <c r="L12" s="2"/>
      <c r="M12" s="2"/>
      <c r="N12" s="2"/>
      <c r="O12" s="2"/>
      <c r="P12" s="1">
        <v>1</v>
      </c>
      <c r="Q12" s="18">
        <v>7.1459999999999999</v>
      </c>
      <c r="R12" s="18">
        <v>1831.6</v>
      </c>
    </row>
    <row r="13" spans="1:21" x14ac:dyDescent="0.2">
      <c r="B13" s="2"/>
      <c r="C13" s="2"/>
      <c r="D13" s="2"/>
      <c r="E13" s="18"/>
      <c r="F13" s="25"/>
      <c r="G13" s="2"/>
      <c r="H13" s="2"/>
      <c r="I13" s="2"/>
      <c r="J13" s="2"/>
      <c r="K13" s="2"/>
      <c r="L13" s="2"/>
      <c r="M13" s="2"/>
      <c r="N13" s="2"/>
      <c r="O13" s="2"/>
      <c r="Q13" s="18"/>
      <c r="R13" s="18"/>
    </row>
    <row r="14" spans="1:21" x14ac:dyDescent="0.2">
      <c r="A14" s="2"/>
      <c r="B14" s="2"/>
      <c r="C14" s="2"/>
      <c r="D14" s="2"/>
      <c r="E14" s="18"/>
      <c r="F14" s="25"/>
      <c r="G14" s="2"/>
      <c r="H14" s="2"/>
      <c r="I14" s="2"/>
      <c r="J14" s="2"/>
      <c r="K14" s="2"/>
      <c r="L14" s="2"/>
      <c r="M14" s="2"/>
      <c r="N14" s="2"/>
      <c r="O14" s="2"/>
      <c r="Q14" s="18"/>
      <c r="R14" s="18"/>
    </row>
    <row r="15" spans="1:21" x14ac:dyDescent="0.2">
      <c r="A15" s="3" t="s">
        <v>11</v>
      </c>
      <c r="B15" s="2">
        <v>65</v>
      </c>
      <c r="C15" s="2">
        <v>5.6</v>
      </c>
      <c r="D15" s="2">
        <v>6.069</v>
      </c>
      <c r="E15" s="22">
        <f>12.82-(0.9672*LN(11.5))</f>
        <v>10.457761947390907</v>
      </c>
      <c r="F15" s="29">
        <f>7261-1216*LN(K15)</f>
        <v>4291.1060049910475</v>
      </c>
      <c r="G15" s="2"/>
      <c r="H15" s="2"/>
      <c r="I15" s="2"/>
      <c r="J15" s="2"/>
      <c r="K15" s="2">
        <v>11.5</v>
      </c>
      <c r="L15" s="2"/>
      <c r="M15" s="2"/>
      <c r="N15" s="2"/>
      <c r="O15" s="2"/>
      <c r="P15" s="1">
        <v>1</v>
      </c>
      <c r="Q15" s="22">
        <f>12.82-(0.9672*LN(11.5))</f>
        <v>10.457761947390907</v>
      </c>
      <c r="R15" s="18"/>
      <c r="U15" s="1" t="s">
        <v>394</v>
      </c>
    </row>
    <row r="16" spans="1:21" x14ac:dyDescent="0.2">
      <c r="A16" s="3" t="s">
        <v>9</v>
      </c>
      <c r="B16" s="2">
        <v>62</v>
      </c>
      <c r="C16" s="2">
        <v>5.6</v>
      </c>
      <c r="D16" s="2">
        <v>7.2572999999999999</v>
      </c>
      <c r="E16" s="22">
        <f>12.82-(0.9672*LN(13.5))</f>
        <v>10.302678536238192</v>
      </c>
      <c r="F16" s="29">
        <f t="shared" ref="F16:F19" si="0">7261-1216*LN(K16)</f>
        <v>4096.1293424996293</v>
      </c>
      <c r="G16" s="2"/>
      <c r="H16" s="2"/>
      <c r="I16" s="2"/>
      <c r="J16" s="2"/>
      <c r="K16" s="2">
        <v>13.5</v>
      </c>
      <c r="L16" s="2"/>
      <c r="M16" s="2"/>
      <c r="N16" s="2"/>
      <c r="O16" s="2"/>
      <c r="P16" s="1">
        <v>1</v>
      </c>
      <c r="Q16" s="22">
        <f>12.82-(0.9672*LN(13.5))</f>
        <v>10.302678536238192</v>
      </c>
      <c r="R16" s="18"/>
      <c r="U16" s="1" t="s">
        <v>394</v>
      </c>
    </row>
    <row r="17" spans="1:21" x14ac:dyDescent="0.2">
      <c r="A17" s="3" t="s">
        <v>8</v>
      </c>
      <c r="B17" s="2">
        <v>60</v>
      </c>
      <c r="C17" s="2">
        <v>5.6</v>
      </c>
      <c r="D17" s="2">
        <v>8.1621000000000006</v>
      </c>
      <c r="E17" s="22">
        <f>12.82-(0.9672*LN(15))</f>
        <v>10.200773845493943</v>
      </c>
      <c r="F17" s="29">
        <f t="shared" si="0"/>
        <v>3968.0109554597125</v>
      </c>
      <c r="G17" s="2"/>
      <c r="H17" s="2"/>
      <c r="I17" s="2"/>
      <c r="J17" s="2"/>
      <c r="K17" s="2">
        <v>15</v>
      </c>
      <c r="L17" s="2"/>
      <c r="M17" s="2"/>
      <c r="N17" s="2"/>
      <c r="O17" s="2"/>
      <c r="P17" s="1">
        <v>1</v>
      </c>
      <c r="Q17" s="22">
        <f>12.82-(0.9672*LN(15))</f>
        <v>10.200773845493943</v>
      </c>
      <c r="R17" s="18"/>
      <c r="U17" s="1" t="s">
        <v>394</v>
      </c>
    </row>
    <row r="18" spans="1:21" x14ac:dyDescent="0.2">
      <c r="A18" s="3" t="s">
        <v>6</v>
      </c>
      <c r="B18" s="2">
        <v>68</v>
      </c>
      <c r="C18" s="2">
        <v>5.6</v>
      </c>
      <c r="D18" s="2">
        <v>3.9363000000000001</v>
      </c>
      <c r="E18" s="22">
        <f>12.82-(0.9672*LN(7.8))</f>
        <v>10.833251524769668</v>
      </c>
      <c r="F18" s="29">
        <f t="shared" si="0"/>
        <v>4763.185539826216</v>
      </c>
      <c r="G18" s="2"/>
      <c r="H18" s="2"/>
      <c r="I18" s="2"/>
      <c r="J18" s="2"/>
      <c r="K18" s="2">
        <v>7.8</v>
      </c>
      <c r="L18" s="2"/>
      <c r="M18" s="2"/>
      <c r="N18" s="2"/>
      <c r="O18" s="2"/>
      <c r="P18" s="1">
        <v>1</v>
      </c>
      <c r="Q18" s="22">
        <f>12.82-(0.9672*LN(7.8))</f>
        <v>10.833251524769668</v>
      </c>
      <c r="R18" s="18"/>
      <c r="U18" s="1" t="s">
        <v>394</v>
      </c>
    </row>
    <row r="19" spans="1:21" x14ac:dyDescent="0.2">
      <c r="A19" s="3" t="s">
        <v>5</v>
      </c>
      <c r="B19" s="2">
        <v>68</v>
      </c>
      <c r="C19" s="2">
        <v>5.6</v>
      </c>
      <c r="D19" s="2">
        <v>4.2187999999999999</v>
      </c>
      <c r="E19" s="22">
        <f>12.82-(0.9672*LN(8.3))</f>
        <v>10.773157666082971</v>
      </c>
      <c r="F19" s="29">
        <f t="shared" si="0"/>
        <v>4687.6332940000957</v>
      </c>
      <c r="G19" s="2"/>
      <c r="H19" s="2"/>
      <c r="I19" s="2"/>
      <c r="J19" s="2"/>
      <c r="K19" s="2">
        <v>8.3000000000000007</v>
      </c>
      <c r="L19" s="2"/>
      <c r="M19" s="2"/>
      <c r="N19" s="2"/>
      <c r="O19" s="2"/>
      <c r="P19" s="1">
        <v>1</v>
      </c>
      <c r="Q19" s="22">
        <f>12.82-(0.9672*LN(8.3))</f>
        <v>10.773157666082971</v>
      </c>
      <c r="R19" s="18"/>
      <c r="U19" s="1" t="s">
        <v>394</v>
      </c>
    </row>
  </sheetData>
  <sheetProtection algorithmName="SHA-512" hashValue="UQa7ozXph8gmFh1q5X5xd7kyMLfBU4bNndrFkENzuGMg6mH9GZ/uLDFj+TTOms2VKjMlaFpfcf9F4jSK7utpIA==" saltValue="QLB/h1DICg594AN3AQ0XKg==" spinCount="100000" sheet="1" objects="1" scenarios="1" formatColumns="0" formatRows="0"/>
  <mergeCells count="2">
    <mergeCell ref="M1:O1"/>
    <mergeCell ref="E1:I1"/>
  </mergeCells>
  <conditionalFormatting sqref="A3">
    <cfRule type="expression" dxfId="17" priority="21">
      <formula>IFERROR(SEARCH("{",A3),0)&gt;0</formula>
    </cfRule>
    <cfRule type="duplicateValues" dxfId="16" priority="22"/>
  </conditionalFormatting>
  <conditionalFormatting sqref="A8:A9">
    <cfRule type="expression" dxfId="15" priority="15">
      <formula>IFERROR(SEARCH("{",A8),0)&gt;0</formula>
    </cfRule>
    <cfRule type="duplicateValues" dxfId="14" priority="16"/>
  </conditionalFormatting>
  <conditionalFormatting sqref="A10:A11">
    <cfRule type="expression" dxfId="13" priority="11">
      <formula>IFERROR(SEARCH("{",A10),0)&gt;0</formula>
    </cfRule>
    <cfRule type="duplicateValues" dxfId="12" priority="12"/>
  </conditionalFormatting>
  <conditionalFormatting sqref="T3:T4">
    <cfRule type="expression" dxfId="11" priority="9">
      <formula>IFERROR(SEARCH("{",T3),0)&gt;0</formula>
    </cfRule>
    <cfRule type="duplicateValues" dxfId="10" priority="10"/>
  </conditionalFormatting>
  <conditionalFormatting sqref="T8:T9">
    <cfRule type="expression" dxfId="9" priority="5">
      <formula>IFERROR(SEARCH("{",T8),0)&gt;0</formula>
    </cfRule>
    <cfRule type="duplicateValues" dxfId="8" priority="6"/>
  </conditionalFormatting>
  <conditionalFormatting sqref="A12 A14 A4">
    <cfRule type="expression" dxfId="7" priority="3">
      <formula>IFERROR(SEARCH("{",A4),0)&gt;0</formula>
    </cfRule>
    <cfRule type="duplicateValues" dxfId="6" priority="4"/>
  </conditionalFormatting>
  <conditionalFormatting sqref="T10:T11">
    <cfRule type="expression" dxfId="5" priority="1">
      <formula>IFERROR(SEARCH("{",T10),0)&gt;0</formula>
    </cfRule>
    <cfRule type="duplicateValues" dxfId="4" priority="2"/>
  </conditionalFormatting>
  <conditionalFormatting sqref="A15:A19 T5:T7">
    <cfRule type="expression" dxfId="3" priority="33">
      <formula>IFERROR(SEARCH("{",A5),0)&gt;0</formula>
    </cfRule>
    <cfRule type="duplicateValues" dxfId="2" priority="34"/>
  </conditionalFormatting>
  <conditionalFormatting sqref="A5:A7">
    <cfRule type="expression" dxfId="1" priority="35">
      <formula>IFERROR(SEARCH("{",A5),0)&gt;0</formula>
    </cfRule>
    <cfRule type="duplicateValues" dxfId="0" priority="36"/>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I43"/>
  <sheetViews>
    <sheetView workbookViewId="0">
      <selection activeCell="A37" sqref="A37"/>
    </sheetView>
  </sheetViews>
  <sheetFormatPr defaultColWidth="0" defaultRowHeight="12.75" zeroHeight="1" x14ac:dyDescent="0.2"/>
  <cols>
    <col min="1" max="1" width="18.85546875" style="1" customWidth="1"/>
    <col min="2" max="2" width="20.140625" style="1" bestFit="1" customWidth="1"/>
    <col min="3" max="3" width="23.140625" style="1" bestFit="1" customWidth="1"/>
    <col min="4" max="4" width="18.140625" style="1" customWidth="1"/>
    <col min="5" max="5" width="17.5703125" style="1" customWidth="1"/>
    <col min="6" max="6" width="9.140625" style="1" hidden="1" customWidth="1"/>
    <col min="7" max="7" width="13.85546875" style="1" hidden="1" customWidth="1"/>
    <col min="8" max="8" width="11.42578125" style="1" hidden="1" customWidth="1"/>
    <col min="9" max="9" width="11.85546875" style="1" hidden="1" customWidth="1"/>
    <col min="10" max="16384" width="9.140625" style="1" hidden="1"/>
  </cols>
  <sheetData>
    <row r="1" spans="1:5" x14ac:dyDescent="0.2">
      <c r="A1" s="381" t="s">
        <v>27</v>
      </c>
      <c r="B1" s="381"/>
      <c r="C1" s="381"/>
      <c r="D1" s="381"/>
    </row>
    <row r="2" spans="1:5" x14ac:dyDescent="0.2">
      <c r="C2" s="381" t="s">
        <v>28</v>
      </c>
      <c r="D2" s="381"/>
    </row>
    <row r="3" spans="1:5" x14ac:dyDescent="0.2">
      <c r="A3" s="1" t="s">
        <v>29</v>
      </c>
      <c r="B3" s="1" t="s">
        <v>30</v>
      </c>
      <c r="C3" s="1" t="s">
        <v>31</v>
      </c>
      <c r="D3" s="1" t="s">
        <v>32</v>
      </c>
      <c r="E3" s="1" t="s">
        <v>33</v>
      </c>
    </row>
    <row r="4" spans="1:5" x14ac:dyDescent="0.2">
      <c r="A4" s="1" t="s">
        <v>26</v>
      </c>
      <c r="B4" s="1" t="s">
        <v>34</v>
      </c>
      <c r="C4" s="1">
        <v>0.39</v>
      </c>
      <c r="D4" s="1">
        <v>0.44</v>
      </c>
      <c r="E4" s="1">
        <v>0.49</v>
      </c>
    </row>
    <row r="5" spans="1:5" x14ac:dyDescent="0.2">
      <c r="B5" s="1" t="s">
        <v>35</v>
      </c>
      <c r="C5" s="1">
        <v>0.6</v>
      </c>
      <c r="D5" s="1">
        <v>0.64</v>
      </c>
      <c r="E5" s="1">
        <v>0.68</v>
      </c>
    </row>
    <row r="6" spans="1:5" x14ac:dyDescent="0.2">
      <c r="B6" s="1" t="s">
        <v>36</v>
      </c>
      <c r="C6" s="1">
        <v>0.1</v>
      </c>
      <c r="D6" s="1">
        <v>0.12</v>
      </c>
      <c r="E6" s="1">
        <v>0.15</v>
      </c>
    </row>
    <row r="7" spans="1:5" x14ac:dyDescent="0.2">
      <c r="B7" s="1" t="s">
        <v>37</v>
      </c>
      <c r="C7" s="1">
        <v>0.35</v>
      </c>
      <c r="D7" s="1">
        <v>0.42</v>
      </c>
      <c r="E7" s="1">
        <v>0.49</v>
      </c>
    </row>
    <row r="8" spans="1:5" x14ac:dyDescent="0.2">
      <c r="B8" s="1" t="s">
        <v>38</v>
      </c>
      <c r="C8" s="1">
        <v>0.97</v>
      </c>
      <c r="D8" s="1">
        <v>0.97</v>
      </c>
      <c r="E8" s="1">
        <v>0.97</v>
      </c>
    </row>
    <row r="9" spans="1:5" x14ac:dyDescent="0.2">
      <c r="B9" s="1" t="s">
        <v>39</v>
      </c>
      <c r="C9" s="1">
        <v>0.57999999999999996</v>
      </c>
      <c r="D9" s="1">
        <v>0.62</v>
      </c>
      <c r="E9" s="1">
        <v>0.67</v>
      </c>
    </row>
    <row r="10" spans="1:5" x14ac:dyDescent="0.2">
      <c r="B10" s="1" t="s">
        <v>40</v>
      </c>
      <c r="C10" s="1">
        <v>0.54</v>
      </c>
      <c r="D10" s="1">
        <v>0.57999999999999996</v>
      </c>
      <c r="E10" s="1">
        <v>0.63</v>
      </c>
    </row>
    <row r="11" spans="1:5" x14ac:dyDescent="0.2">
      <c r="B11" s="1" t="s">
        <v>41</v>
      </c>
      <c r="C11" s="1">
        <v>0.68</v>
      </c>
      <c r="D11" s="1">
        <v>0.71</v>
      </c>
      <c r="E11" s="1">
        <v>0.74</v>
      </c>
    </row>
    <row r="12" spans="1:5" x14ac:dyDescent="0.2">
      <c r="B12" s="1" t="s">
        <v>42</v>
      </c>
      <c r="C12" s="1">
        <v>0.89</v>
      </c>
      <c r="D12" s="1">
        <v>0.9</v>
      </c>
      <c r="E12" s="1">
        <v>0.91</v>
      </c>
    </row>
    <row r="13" spans="1:5" x14ac:dyDescent="0.2">
      <c r="B13" s="1" t="s">
        <v>43</v>
      </c>
      <c r="C13" s="1">
        <v>0.89</v>
      </c>
      <c r="D13" s="1">
        <v>0.9</v>
      </c>
      <c r="E13" s="1">
        <v>0.91</v>
      </c>
    </row>
    <row r="14" spans="1:5" x14ac:dyDescent="0.2">
      <c r="B14" s="1" t="s">
        <v>44</v>
      </c>
      <c r="C14" s="1">
        <v>0.38</v>
      </c>
      <c r="D14" s="1">
        <v>0.44</v>
      </c>
      <c r="E14" s="1">
        <v>0.5</v>
      </c>
    </row>
    <row r="15" spans="1:5" x14ac:dyDescent="0.2">
      <c r="B15" s="1" t="s">
        <v>45</v>
      </c>
      <c r="C15" s="1">
        <v>0.43</v>
      </c>
      <c r="D15" s="1">
        <v>0.49</v>
      </c>
      <c r="E15" s="1">
        <v>0.55000000000000004</v>
      </c>
    </row>
    <row r="16" spans="1:5" x14ac:dyDescent="0.2">
      <c r="B16" s="1" t="s">
        <v>46</v>
      </c>
      <c r="C16" s="1">
        <v>0.17</v>
      </c>
      <c r="D16" s="1">
        <v>0.25</v>
      </c>
      <c r="E16" s="1">
        <v>0.34</v>
      </c>
    </row>
    <row r="17" spans="1:9" x14ac:dyDescent="0.2"/>
    <row r="18" spans="1:9" x14ac:dyDescent="0.2">
      <c r="A18" s="1" t="s">
        <v>47</v>
      </c>
      <c r="B18" s="30"/>
      <c r="C18" s="30"/>
      <c r="D18" s="30"/>
      <c r="E18" s="30"/>
      <c r="F18" s="30"/>
      <c r="G18" s="30"/>
      <c r="H18" s="30"/>
      <c r="I18" s="30"/>
    </row>
    <row r="19" spans="1:9" x14ac:dyDescent="0.2">
      <c r="A19" s="1" t="s">
        <v>48</v>
      </c>
      <c r="B19" s="31"/>
      <c r="C19" s="1" t="s">
        <v>68</v>
      </c>
      <c r="D19" s="1" t="s">
        <v>122</v>
      </c>
      <c r="E19" s="1" t="s">
        <v>165</v>
      </c>
      <c r="F19" s="7"/>
      <c r="G19" s="31"/>
      <c r="H19" s="8"/>
      <c r="I19" s="31"/>
    </row>
    <row r="20" spans="1:9" ht="25.5" x14ac:dyDescent="0.2">
      <c r="A20" s="1" t="s">
        <v>49</v>
      </c>
      <c r="B20" s="31"/>
      <c r="C20" s="1" t="s">
        <v>119</v>
      </c>
      <c r="D20" s="1" t="s">
        <v>123</v>
      </c>
      <c r="E20" s="4" t="s">
        <v>166</v>
      </c>
      <c r="F20" s="7"/>
      <c r="G20" s="31"/>
      <c r="H20" s="8"/>
      <c r="I20" s="31"/>
    </row>
    <row r="21" spans="1:9" x14ac:dyDescent="0.2">
      <c r="A21" s="1" t="s">
        <v>50</v>
      </c>
      <c r="B21" s="31"/>
      <c r="E21" s="1" t="s">
        <v>167</v>
      </c>
      <c r="F21" s="7"/>
      <c r="G21" s="31"/>
      <c r="H21" s="8"/>
      <c r="I21" s="31"/>
    </row>
    <row r="22" spans="1:9" x14ac:dyDescent="0.2">
      <c r="A22" s="1" t="s">
        <v>51</v>
      </c>
      <c r="B22" s="31"/>
      <c r="C22" s="31"/>
      <c r="D22" s="31"/>
      <c r="E22" s="31"/>
      <c r="F22" s="7"/>
      <c r="G22" s="31"/>
      <c r="H22" s="8"/>
      <c r="I22" s="31"/>
    </row>
    <row r="23" spans="1:9" x14ac:dyDescent="0.2">
      <c r="A23" s="1" t="s">
        <v>52</v>
      </c>
      <c r="B23" s="31"/>
      <c r="C23" s="31"/>
      <c r="D23" s="31"/>
      <c r="E23" s="31"/>
      <c r="F23" s="7"/>
      <c r="G23" s="31"/>
      <c r="H23" s="8"/>
      <c r="I23" s="31"/>
    </row>
    <row r="24" spans="1:9" x14ac:dyDescent="0.2">
      <c r="A24" s="1" t="s">
        <v>187</v>
      </c>
      <c r="B24" s="31"/>
      <c r="C24" s="31"/>
      <c r="D24" s="31"/>
      <c r="E24" s="31"/>
      <c r="F24" s="7"/>
      <c r="G24" s="31"/>
      <c r="H24" s="8"/>
      <c r="I24" s="31"/>
    </row>
    <row r="25" spans="1:9" x14ac:dyDescent="0.2">
      <c r="A25" s="1" t="s">
        <v>53</v>
      </c>
      <c r="B25" s="31"/>
      <c r="C25" s="31"/>
      <c r="D25" s="31"/>
      <c r="E25" s="31"/>
      <c r="F25" s="7"/>
      <c r="G25" s="31"/>
      <c r="H25" s="8"/>
      <c r="I25" s="31"/>
    </row>
    <row r="26" spans="1:9" x14ac:dyDescent="0.2">
      <c r="A26" s="1" t="s">
        <v>54</v>
      </c>
      <c r="B26" s="31"/>
      <c r="C26" s="31"/>
      <c r="D26" s="31"/>
      <c r="E26" s="31"/>
      <c r="F26" s="7"/>
      <c r="G26" s="31"/>
      <c r="H26" s="8"/>
      <c r="I26" s="31"/>
    </row>
    <row r="27" spans="1:9" x14ac:dyDescent="0.2">
      <c r="A27" s="1" t="s">
        <v>55</v>
      </c>
      <c r="B27" s="31"/>
      <c r="C27" s="31"/>
      <c r="D27" s="31"/>
      <c r="E27" s="31"/>
      <c r="F27" s="7"/>
      <c r="G27" s="31"/>
      <c r="H27" s="8"/>
      <c r="I27" s="31"/>
    </row>
    <row r="28" spans="1:9" x14ac:dyDescent="0.2">
      <c r="A28" s="1" t="s">
        <v>56</v>
      </c>
      <c r="B28" s="31"/>
      <c r="C28" s="31"/>
      <c r="D28" s="31"/>
      <c r="E28" s="31"/>
      <c r="F28" s="7"/>
      <c r="G28" s="31"/>
      <c r="H28" s="8"/>
      <c r="I28" s="31"/>
    </row>
    <row r="29" spans="1:9" x14ac:dyDescent="0.2">
      <c r="A29" s="1" t="s">
        <v>57</v>
      </c>
      <c r="B29" s="31"/>
      <c r="C29" s="31"/>
      <c r="D29" s="31"/>
      <c r="E29" s="31"/>
      <c r="F29" s="7"/>
      <c r="G29" s="31"/>
      <c r="H29" s="8"/>
      <c r="I29" s="31"/>
    </row>
    <row r="30" spans="1:9" x14ac:dyDescent="0.2">
      <c r="A30" s="1" t="s">
        <v>58</v>
      </c>
      <c r="B30" s="31"/>
      <c r="C30" s="31"/>
      <c r="D30" s="31"/>
      <c r="E30" s="31"/>
      <c r="F30" s="7"/>
      <c r="G30" s="31"/>
      <c r="H30" s="8"/>
      <c r="I30" s="31"/>
    </row>
    <row r="31" spans="1:9" x14ac:dyDescent="0.2">
      <c r="A31" s="1" t="s">
        <v>59</v>
      </c>
      <c r="B31" s="31"/>
      <c r="C31" s="31"/>
      <c r="D31" s="31"/>
      <c r="E31" s="31"/>
      <c r="F31" s="7"/>
      <c r="G31" s="31"/>
      <c r="H31" s="8"/>
      <c r="I31" s="31"/>
    </row>
    <row r="32" spans="1:9" x14ac:dyDescent="0.2">
      <c r="A32" s="1" t="s">
        <v>60</v>
      </c>
      <c r="B32" s="31"/>
      <c r="C32" s="31"/>
      <c r="D32" s="31"/>
      <c r="E32" s="31"/>
      <c r="F32" s="7"/>
      <c r="G32" s="31"/>
      <c r="H32" s="8"/>
      <c r="I32" s="31"/>
    </row>
    <row r="33" spans="1:9" x14ac:dyDescent="0.2">
      <c r="A33" s="1" t="s">
        <v>61</v>
      </c>
      <c r="B33" s="31"/>
      <c r="C33" s="31"/>
      <c r="D33" s="31"/>
      <c r="E33" s="31"/>
      <c r="F33" s="7"/>
      <c r="G33" s="31"/>
      <c r="H33" s="8"/>
      <c r="I33" s="31"/>
    </row>
    <row r="34" spans="1:9" x14ac:dyDescent="0.2">
      <c r="A34" s="1" t="s">
        <v>380</v>
      </c>
      <c r="B34" s="31"/>
      <c r="C34" s="31"/>
      <c r="D34" s="31"/>
      <c r="E34" s="31"/>
      <c r="F34" s="7"/>
      <c r="G34" s="31"/>
      <c r="H34" s="8"/>
      <c r="I34" s="31"/>
    </row>
    <row r="35" spans="1:9" x14ac:dyDescent="0.2">
      <c r="A35" s="1" t="s">
        <v>62</v>
      </c>
      <c r="B35" s="31"/>
      <c r="C35" s="31"/>
      <c r="D35" s="31"/>
      <c r="E35" s="31"/>
      <c r="F35" s="7"/>
      <c r="G35" s="31"/>
      <c r="H35" s="8"/>
      <c r="I35" s="31"/>
    </row>
    <row r="36" spans="1:9" x14ac:dyDescent="0.2">
      <c r="A36" s="1" t="s">
        <v>63</v>
      </c>
      <c r="B36" s="31"/>
      <c r="C36" s="31"/>
      <c r="D36" s="31"/>
      <c r="E36" s="31"/>
      <c r="F36" s="7"/>
      <c r="G36" s="31"/>
      <c r="H36" s="8"/>
      <c r="I36" s="31"/>
    </row>
    <row r="37" spans="1:9" x14ac:dyDescent="0.2">
      <c r="A37" s="1" t="s">
        <v>64</v>
      </c>
      <c r="B37" s="31"/>
      <c r="C37" s="31"/>
      <c r="D37" s="31"/>
      <c r="E37" s="31"/>
      <c r="F37" s="7"/>
      <c r="G37" s="31"/>
      <c r="H37" s="8"/>
      <c r="I37" s="31"/>
    </row>
    <row r="38" spans="1:9" hidden="1" x14ac:dyDescent="0.2">
      <c r="B38" s="26"/>
      <c r="C38" s="26"/>
      <c r="D38" s="26"/>
      <c r="E38" s="26"/>
      <c r="F38" s="26"/>
      <c r="G38" s="26"/>
      <c r="H38" s="26"/>
      <c r="I38" s="26"/>
    </row>
    <row r="39" spans="1:9" hidden="1" x14ac:dyDescent="0.2">
      <c r="B39" s="26"/>
      <c r="C39" s="26"/>
      <c r="D39" s="26"/>
      <c r="E39" s="26"/>
      <c r="F39" s="26"/>
      <c r="G39" s="26"/>
      <c r="H39" s="26"/>
      <c r="I39" s="26"/>
    </row>
    <row r="40" spans="1:9" hidden="1" x14ac:dyDescent="0.2">
      <c r="B40" s="26"/>
      <c r="C40" s="26"/>
      <c r="D40" s="26"/>
      <c r="E40" s="26"/>
      <c r="F40" s="26"/>
      <c r="G40" s="26"/>
      <c r="H40" s="26"/>
      <c r="I40" s="26"/>
    </row>
    <row r="41" spans="1:9" hidden="1" x14ac:dyDescent="0.2"/>
    <row r="42" spans="1:9" hidden="1" x14ac:dyDescent="0.2"/>
    <row r="43" spans="1:9" hidden="1" x14ac:dyDescent="0.2">
      <c r="A43" s="32"/>
      <c r="B43" s="32"/>
      <c r="C43" s="32"/>
      <c r="D43" s="32"/>
    </row>
  </sheetData>
  <sheetProtection algorithmName="SHA-512" hashValue="THuq/J7Rd2nBvi2i8WnPZKW695jINsGUJLe/fAJ3XlNorGliGHykgHsfy2aClFbq+N90Akl3jTRd9BtkEqusTQ==" saltValue="VeZxCL/JQ+S0JNjwWzxjog==" spinCount="100000" sheet="1" objects="1" scenarios="1" formatColumns="0" formatRows="0"/>
  <mergeCells count="2">
    <mergeCell ref="A1:D1"/>
    <mergeCell ref="C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V213"/>
  <sheetViews>
    <sheetView zoomScaleNormal="100" workbookViewId="0">
      <selection activeCell="A2" sqref="A2"/>
    </sheetView>
  </sheetViews>
  <sheetFormatPr defaultColWidth="0" defaultRowHeight="12.75" zeroHeight="1" x14ac:dyDescent="0.2"/>
  <cols>
    <col min="1" max="1" width="20" style="18" bestFit="1" customWidth="1"/>
    <col min="2" max="2" width="9.140625" style="18" customWidth="1"/>
    <col min="3" max="3" width="11.5703125" style="18" bestFit="1" customWidth="1"/>
    <col min="4" max="22" width="9.140625" style="18" customWidth="1"/>
    <col min="23" max="16384" width="9.140625" style="18" hidden="1"/>
  </cols>
  <sheetData>
    <row r="1" spans="1:22" x14ac:dyDescent="0.2">
      <c r="A1" s="9" t="s">
        <v>103</v>
      </c>
      <c r="B1" s="10" t="s">
        <v>78</v>
      </c>
      <c r="C1" s="10" t="s">
        <v>79</v>
      </c>
      <c r="D1" s="10" t="s">
        <v>80</v>
      </c>
      <c r="E1" s="10" t="s">
        <v>81</v>
      </c>
      <c r="F1" s="10" t="s">
        <v>82</v>
      </c>
      <c r="G1" s="10" t="s">
        <v>83</v>
      </c>
      <c r="H1" s="10" t="s">
        <v>84</v>
      </c>
      <c r="I1" s="10" t="s">
        <v>85</v>
      </c>
      <c r="J1" s="10" t="s">
        <v>86</v>
      </c>
      <c r="K1" s="10" t="s">
        <v>87</v>
      </c>
      <c r="L1" s="10" t="s">
        <v>88</v>
      </c>
      <c r="M1" s="10" t="s">
        <v>89</v>
      </c>
      <c r="N1" s="11" t="s">
        <v>106</v>
      </c>
      <c r="P1" s="10" t="s">
        <v>104</v>
      </c>
      <c r="Q1" s="10" t="s">
        <v>105</v>
      </c>
      <c r="R1" s="13"/>
      <c r="S1" s="13"/>
      <c r="T1" s="13"/>
    </row>
    <row r="2" spans="1:22" x14ac:dyDescent="0.2">
      <c r="A2" s="12" t="s">
        <v>48</v>
      </c>
      <c r="B2" s="13">
        <v>493.87</v>
      </c>
      <c r="C2" s="13">
        <v>497.47</v>
      </c>
      <c r="D2" s="13">
        <v>504.57</v>
      </c>
      <c r="E2" s="13">
        <v>512.27</v>
      </c>
      <c r="F2" s="13">
        <v>520.87</v>
      </c>
      <c r="G2" s="13">
        <v>528.77</v>
      </c>
      <c r="H2" s="13">
        <v>532.27</v>
      </c>
      <c r="I2" s="13">
        <v>531.67000000000007</v>
      </c>
      <c r="J2" s="13">
        <v>524.07000000000005</v>
      </c>
      <c r="K2" s="13">
        <v>514.27</v>
      </c>
      <c r="L2" s="13">
        <v>503.07</v>
      </c>
      <c r="M2" s="13">
        <v>494.87</v>
      </c>
      <c r="N2" s="14">
        <v>513.27</v>
      </c>
      <c r="P2" s="13" t="s">
        <v>107</v>
      </c>
      <c r="Q2" s="13" t="s">
        <v>149</v>
      </c>
      <c r="R2" s="13"/>
      <c r="S2" s="13"/>
      <c r="T2" s="13"/>
    </row>
    <row r="3" spans="1:22" x14ac:dyDescent="0.2">
      <c r="A3" s="12" t="s">
        <v>49</v>
      </c>
      <c r="B3" s="13">
        <v>484.57</v>
      </c>
      <c r="C3" s="13">
        <v>487.67</v>
      </c>
      <c r="D3" s="13">
        <v>493.77000000000004</v>
      </c>
      <c r="E3" s="13">
        <v>502.07</v>
      </c>
      <c r="F3" s="13">
        <v>512.47</v>
      </c>
      <c r="G3" s="13">
        <v>521.37</v>
      </c>
      <c r="H3" s="13">
        <v>525.47</v>
      </c>
      <c r="I3" s="13">
        <v>524.47</v>
      </c>
      <c r="J3" s="13">
        <v>516.57000000000005</v>
      </c>
      <c r="K3" s="13">
        <v>504.97</v>
      </c>
      <c r="L3" s="13">
        <v>492.87</v>
      </c>
      <c r="M3" s="13">
        <v>485.47</v>
      </c>
      <c r="N3" s="14">
        <v>504.37</v>
      </c>
      <c r="P3" s="13"/>
      <c r="Q3" s="13"/>
      <c r="R3" s="13"/>
      <c r="S3" s="13"/>
      <c r="T3" s="13"/>
    </row>
    <row r="4" spans="1:22" x14ac:dyDescent="0.2">
      <c r="A4" s="12" t="s">
        <v>50</v>
      </c>
      <c r="B4" s="13">
        <v>499.97</v>
      </c>
      <c r="C4" s="13">
        <v>503.57</v>
      </c>
      <c r="D4" s="13">
        <v>509.57</v>
      </c>
      <c r="E4" s="13">
        <v>517.17000000000007</v>
      </c>
      <c r="F4" s="13">
        <v>525.97</v>
      </c>
      <c r="G4" s="13">
        <v>531.57000000000005</v>
      </c>
      <c r="H4" s="13">
        <v>533.47</v>
      </c>
      <c r="I4" s="13">
        <v>533.17000000000007</v>
      </c>
      <c r="J4" s="13">
        <v>527.87</v>
      </c>
      <c r="K4" s="13">
        <v>518.47</v>
      </c>
      <c r="L4" s="13">
        <v>507.97</v>
      </c>
      <c r="M4" s="13">
        <v>500.67</v>
      </c>
      <c r="N4" s="14">
        <v>517.47</v>
      </c>
      <c r="P4" s="13"/>
      <c r="Q4" s="13"/>
      <c r="R4" s="13"/>
      <c r="S4" s="13"/>
      <c r="T4" s="13"/>
    </row>
    <row r="5" spans="1:22" x14ac:dyDescent="0.2">
      <c r="A5" s="12" t="s">
        <v>51</v>
      </c>
      <c r="B5" s="13">
        <v>512.47</v>
      </c>
      <c r="C5" s="13">
        <v>515.67000000000007</v>
      </c>
      <c r="D5" s="13">
        <v>520.37</v>
      </c>
      <c r="E5" s="13">
        <v>526.27</v>
      </c>
      <c r="F5" s="13">
        <v>532.37</v>
      </c>
      <c r="G5" s="13">
        <v>536.07000000000005</v>
      </c>
      <c r="H5" s="13">
        <v>536.57000000000005</v>
      </c>
      <c r="I5" s="13">
        <v>536.47</v>
      </c>
      <c r="J5" s="13">
        <v>533.27</v>
      </c>
      <c r="K5" s="13">
        <v>527.27</v>
      </c>
      <c r="L5" s="13">
        <v>519.57000000000005</v>
      </c>
      <c r="M5" s="13">
        <v>513.17000000000007</v>
      </c>
      <c r="N5" s="14">
        <v>525.77</v>
      </c>
      <c r="P5" s="13"/>
      <c r="Q5" s="13"/>
      <c r="R5" s="13"/>
      <c r="S5" s="13"/>
      <c r="T5" s="13"/>
    </row>
    <row r="6" spans="1:22" x14ac:dyDescent="0.2">
      <c r="A6" s="12" t="s">
        <v>52</v>
      </c>
      <c r="B6" s="13">
        <v>508.07</v>
      </c>
      <c r="C6" s="13">
        <v>511.57</v>
      </c>
      <c r="D6" s="13">
        <v>516.97</v>
      </c>
      <c r="E6" s="13">
        <v>523.57000000000005</v>
      </c>
      <c r="F6" s="13">
        <v>530.27</v>
      </c>
      <c r="G6" s="13">
        <v>534.17000000000007</v>
      </c>
      <c r="H6" s="13">
        <v>534.97</v>
      </c>
      <c r="I6" s="13">
        <v>535.17000000000007</v>
      </c>
      <c r="J6" s="13">
        <v>532.17000000000007</v>
      </c>
      <c r="K6" s="13">
        <v>524.97</v>
      </c>
      <c r="L6" s="13">
        <v>515.87</v>
      </c>
      <c r="M6" s="13">
        <v>509.27000000000004</v>
      </c>
      <c r="N6" s="14">
        <v>523.07000000000005</v>
      </c>
      <c r="P6" s="13"/>
      <c r="Q6" s="13"/>
      <c r="R6" s="13"/>
      <c r="S6" s="13"/>
      <c r="T6" s="13"/>
    </row>
    <row r="7" spans="1:22" x14ac:dyDescent="0.2">
      <c r="A7" s="35" t="s">
        <v>187</v>
      </c>
      <c r="B7" s="13">
        <v>496.67</v>
      </c>
      <c r="C7" s="13">
        <v>500.47</v>
      </c>
      <c r="D7" s="13">
        <v>507.47</v>
      </c>
      <c r="E7" s="13">
        <v>515.47</v>
      </c>
      <c r="F7" s="13">
        <v>525.07000000000005</v>
      </c>
      <c r="G7" s="13">
        <v>532.27</v>
      </c>
      <c r="H7" s="13">
        <v>535.97</v>
      </c>
      <c r="I7" s="13">
        <v>535.77</v>
      </c>
      <c r="J7" s="13">
        <v>528.27</v>
      </c>
      <c r="K7" s="13">
        <v>517.47</v>
      </c>
      <c r="L7" s="13">
        <v>506.77000000000004</v>
      </c>
      <c r="M7" s="13">
        <v>498.47</v>
      </c>
      <c r="N7" s="14">
        <v>516.67000000000007</v>
      </c>
      <c r="P7" s="382" t="s">
        <v>188</v>
      </c>
      <c r="Q7" s="382"/>
      <c r="R7" s="382"/>
      <c r="S7" s="382"/>
      <c r="T7" s="382"/>
      <c r="U7" s="382"/>
      <c r="V7" s="382"/>
    </row>
    <row r="8" spans="1:22" x14ac:dyDescent="0.2">
      <c r="A8" s="36" t="s">
        <v>53</v>
      </c>
      <c r="B8" s="13">
        <v>500.27000000000004</v>
      </c>
      <c r="C8" s="13">
        <v>504.67</v>
      </c>
      <c r="D8" s="13">
        <v>511.77000000000004</v>
      </c>
      <c r="E8" s="13">
        <v>519.27</v>
      </c>
      <c r="F8" s="13">
        <v>527.57000000000005</v>
      </c>
      <c r="G8" s="13">
        <v>533.07000000000005</v>
      </c>
      <c r="H8" s="13">
        <v>534.87</v>
      </c>
      <c r="I8" s="13">
        <v>534.97</v>
      </c>
      <c r="J8" s="13">
        <v>529.47</v>
      </c>
      <c r="K8" s="13">
        <v>520.67000000000007</v>
      </c>
      <c r="L8" s="13">
        <v>509.27000000000004</v>
      </c>
      <c r="M8" s="13">
        <v>500.47</v>
      </c>
      <c r="N8" s="14">
        <v>518.87</v>
      </c>
      <c r="P8" s="383" t="s">
        <v>189</v>
      </c>
      <c r="Q8" s="383"/>
      <c r="R8" s="383"/>
      <c r="S8" s="383"/>
      <c r="T8" s="383"/>
      <c r="U8" s="383"/>
    </row>
    <row r="9" spans="1:22" x14ac:dyDescent="0.2">
      <c r="A9" s="12" t="s">
        <v>54</v>
      </c>
      <c r="B9" s="13">
        <v>494.27000000000004</v>
      </c>
      <c r="C9" s="13">
        <v>498.47</v>
      </c>
      <c r="D9" s="13">
        <v>503.97</v>
      </c>
      <c r="E9" s="13">
        <v>511.87</v>
      </c>
      <c r="F9" s="13">
        <v>521.97</v>
      </c>
      <c r="G9" s="13">
        <v>529.47</v>
      </c>
      <c r="H9" s="13">
        <v>531.87</v>
      </c>
      <c r="I9" s="13">
        <v>530.27</v>
      </c>
      <c r="J9" s="13">
        <v>524.17000000000007</v>
      </c>
      <c r="K9" s="13">
        <v>512.97</v>
      </c>
      <c r="L9" s="13">
        <v>500.47</v>
      </c>
      <c r="M9" s="13">
        <v>493.57</v>
      </c>
      <c r="N9" s="14">
        <v>512.77</v>
      </c>
      <c r="P9" s="13"/>
      <c r="Q9" s="13"/>
      <c r="R9" s="13"/>
      <c r="S9" s="13"/>
      <c r="T9" s="13"/>
    </row>
    <row r="10" spans="1:22" x14ac:dyDescent="0.2">
      <c r="A10" s="33" t="s">
        <v>55</v>
      </c>
      <c r="B10" s="13">
        <v>508.27000000000004</v>
      </c>
      <c r="C10" s="13">
        <v>510.57</v>
      </c>
      <c r="D10" s="13">
        <v>516.27</v>
      </c>
      <c r="E10" s="13">
        <v>524.07000000000005</v>
      </c>
      <c r="F10" s="13">
        <v>531.97</v>
      </c>
      <c r="G10" s="13">
        <v>537.17000000000007</v>
      </c>
      <c r="H10" s="13">
        <v>539.07000000000005</v>
      </c>
      <c r="I10" s="13">
        <v>539.37</v>
      </c>
      <c r="J10" s="13">
        <v>535.57000000000005</v>
      </c>
      <c r="K10" s="13">
        <v>527.77</v>
      </c>
      <c r="L10" s="13">
        <v>518.27</v>
      </c>
      <c r="M10" s="13">
        <v>510.37</v>
      </c>
      <c r="N10" s="14">
        <v>524.97</v>
      </c>
      <c r="P10" s="13"/>
      <c r="Q10" s="13"/>
      <c r="R10" s="13"/>
      <c r="S10" s="13"/>
      <c r="T10" s="13"/>
    </row>
    <row r="11" spans="1:22" x14ac:dyDescent="0.2">
      <c r="A11" s="12" t="s">
        <v>56</v>
      </c>
      <c r="B11" s="13">
        <v>503.47</v>
      </c>
      <c r="C11" s="13">
        <v>506.67</v>
      </c>
      <c r="D11" s="13">
        <v>512.37</v>
      </c>
      <c r="E11" s="13">
        <v>519.27</v>
      </c>
      <c r="F11" s="13">
        <v>527.57000000000005</v>
      </c>
      <c r="G11" s="13">
        <v>533.07000000000005</v>
      </c>
      <c r="H11" s="13">
        <v>534.77</v>
      </c>
      <c r="I11" s="13">
        <v>534.37</v>
      </c>
      <c r="J11" s="13">
        <v>529.57000000000005</v>
      </c>
      <c r="K11" s="13">
        <v>520.67000000000007</v>
      </c>
      <c r="L11" s="13">
        <v>510.87</v>
      </c>
      <c r="M11" s="13">
        <v>504.57</v>
      </c>
      <c r="N11" s="14">
        <v>519.77</v>
      </c>
      <c r="P11" s="13"/>
      <c r="Q11" s="13"/>
      <c r="R11" s="13"/>
      <c r="S11" s="13"/>
      <c r="T11" s="13"/>
    </row>
    <row r="12" spans="1:22" x14ac:dyDescent="0.2">
      <c r="A12" s="12" t="s">
        <v>57</v>
      </c>
      <c r="B12" s="13">
        <v>487.67</v>
      </c>
      <c r="C12" s="13">
        <v>491.27000000000004</v>
      </c>
      <c r="D12" s="13">
        <v>497.87</v>
      </c>
      <c r="E12" s="13">
        <v>506.47</v>
      </c>
      <c r="F12" s="13">
        <v>516.97</v>
      </c>
      <c r="G12" s="13">
        <v>525.07000000000005</v>
      </c>
      <c r="H12" s="13">
        <v>528.67000000000007</v>
      </c>
      <c r="I12" s="13">
        <v>527.17000000000007</v>
      </c>
      <c r="J12" s="13">
        <v>519.27</v>
      </c>
      <c r="K12" s="13">
        <v>508.27000000000004</v>
      </c>
      <c r="L12" s="13">
        <v>496.27000000000004</v>
      </c>
      <c r="M12" s="13">
        <v>488.17</v>
      </c>
      <c r="N12" s="14">
        <v>507.77000000000004</v>
      </c>
      <c r="P12" s="13"/>
      <c r="Q12" s="13"/>
      <c r="R12" s="13"/>
      <c r="S12" s="13"/>
      <c r="T12" s="13"/>
    </row>
    <row r="13" spans="1:22" x14ac:dyDescent="0.2">
      <c r="A13" s="12" t="s">
        <v>116</v>
      </c>
      <c r="B13" s="13">
        <v>498.97</v>
      </c>
      <c r="C13" s="13">
        <v>502.07</v>
      </c>
      <c r="D13" s="13">
        <v>508.27000000000004</v>
      </c>
      <c r="E13" s="13">
        <v>515.27</v>
      </c>
      <c r="F13" s="13">
        <v>524.37</v>
      </c>
      <c r="G13" s="13">
        <v>530.37</v>
      </c>
      <c r="H13" s="13">
        <v>532.47</v>
      </c>
      <c r="I13" s="13">
        <v>531.77</v>
      </c>
      <c r="J13" s="13">
        <v>526.47</v>
      </c>
      <c r="K13" s="13">
        <v>516.17000000000007</v>
      </c>
      <c r="L13" s="13">
        <v>506.47</v>
      </c>
      <c r="M13" s="13">
        <v>499.97</v>
      </c>
      <c r="N13" s="14">
        <v>516.07000000000005</v>
      </c>
      <c r="P13" s="13"/>
      <c r="Q13" s="13"/>
      <c r="R13" s="13"/>
      <c r="S13" s="13"/>
      <c r="T13" s="13"/>
    </row>
    <row r="14" spans="1:22" x14ac:dyDescent="0.2">
      <c r="A14" s="12" t="s">
        <v>58</v>
      </c>
      <c r="B14" s="13">
        <v>491.47</v>
      </c>
      <c r="C14" s="13">
        <v>495.57</v>
      </c>
      <c r="D14" s="13">
        <v>501.77000000000004</v>
      </c>
      <c r="E14" s="13">
        <v>509.77000000000004</v>
      </c>
      <c r="F14" s="13">
        <v>520.57000000000005</v>
      </c>
      <c r="G14" s="13">
        <v>528.17000000000007</v>
      </c>
      <c r="H14" s="13">
        <v>530.67000000000007</v>
      </c>
      <c r="I14" s="13">
        <v>529.37</v>
      </c>
      <c r="J14" s="13">
        <v>522.37</v>
      </c>
      <c r="K14" s="13">
        <v>512.07000000000005</v>
      </c>
      <c r="L14" s="13">
        <v>499.47</v>
      </c>
      <c r="M14" s="13">
        <v>491.77000000000004</v>
      </c>
      <c r="N14" s="14">
        <v>511.07</v>
      </c>
      <c r="P14" s="13"/>
      <c r="Q14" s="13"/>
      <c r="R14" s="13"/>
      <c r="S14" s="13"/>
      <c r="T14" s="13"/>
    </row>
    <row r="15" spans="1:22" x14ac:dyDescent="0.2">
      <c r="A15" s="12" t="s">
        <v>59</v>
      </c>
      <c r="B15" s="13">
        <v>504.27000000000004</v>
      </c>
      <c r="C15" s="13">
        <v>507.37</v>
      </c>
      <c r="D15" s="13">
        <v>512.87</v>
      </c>
      <c r="E15" s="13">
        <v>519.77</v>
      </c>
      <c r="F15" s="13">
        <v>527.67000000000007</v>
      </c>
      <c r="G15" s="13">
        <v>533.17000000000007</v>
      </c>
      <c r="H15" s="13">
        <v>534.67000000000007</v>
      </c>
      <c r="I15" s="13">
        <v>534.37</v>
      </c>
      <c r="J15" s="13">
        <v>530.27</v>
      </c>
      <c r="K15" s="13">
        <v>521.17000000000007</v>
      </c>
      <c r="L15" s="13">
        <v>511.37</v>
      </c>
      <c r="M15" s="13">
        <v>505.37</v>
      </c>
      <c r="N15" s="14">
        <v>520.17000000000007</v>
      </c>
      <c r="P15" s="13"/>
      <c r="Q15" s="13"/>
      <c r="R15" s="13"/>
      <c r="S15" s="13"/>
      <c r="T15" s="13"/>
    </row>
    <row r="16" spans="1:22" x14ac:dyDescent="0.2">
      <c r="A16" s="12" t="s">
        <v>60</v>
      </c>
      <c r="B16" s="13">
        <v>494.07</v>
      </c>
      <c r="C16" s="13">
        <v>497.67</v>
      </c>
      <c r="D16" s="13">
        <v>504.87</v>
      </c>
      <c r="E16" s="13">
        <v>512.47</v>
      </c>
      <c r="F16" s="13">
        <v>522.47</v>
      </c>
      <c r="G16" s="13">
        <v>529.27</v>
      </c>
      <c r="H16" s="13">
        <v>531.77</v>
      </c>
      <c r="I16" s="13">
        <v>530.97</v>
      </c>
      <c r="J16" s="13">
        <v>523.67000000000007</v>
      </c>
      <c r="K16" s="13">
        <v>513.47</v>
      </c>
      <c r="L16" s="13">
        <v>502.37</v>
      </c>
      <c r="M16" s="13">
        <v>494.77000000000004</v>
      </c>
      <c r="N16" s="14">
        <v>513.17000000000007</v>
      </c>
      <c r="P16" s="13"/>
      <c r="Q16" s="13"/>
      <c r="R16" s="13"/>
      <c r="S16" s="13"/>
      <c r="T16" s="13"/>
    </row>
    <row r="17" spans="1:22" x14ac:dyDescent="0.2">
      <c r="A17" s="12" t="s">
        <v>61</v>
      </c>
      <c r="B17" s="13">
        <v>501.67</v>
      </c>
      <c r="C17" s="13">
        <v>505.47</v>
      </c>
      <c r="D17" s="13">
        <v>511.47</v>
      </c>
      <c r="E17" s="13">
        <v>518.77</v>
      </c>
      <c r="F17" s="13">
        <v>527.27</v>
      </c>
      <c r="G17" s="13">
        <v>532.87</v>
      </c>
      <c r="H17" s="13">
        <v>534.87</v>
      </c>
      <c r="I17" s="13">
        <v>534.97</v>
      </c>
      <c r="J17" s="13">
        <v>529.47</v>
      </c>
      <c r="K17" s="13">
        <v>520.47</v>
      </c>
      <c r="L17" s="13">
        <v>510.17</v>
      </c>
      <c r="M17" s="13">
        <v>502.77000000000004</v>
      </c>
      <c r="N17" s="14">
        <v>519.17000000000007</v>
      </c>
      <c r="P17" s="13"/>
      <c r="Q17" s="13"/>
      <c r="R17" s="13"/>
      <c r="S17" s="13"/>
      <c r="T17" s="13"/>
    </row>
    <row r="18" spans="1:22" x14ac:dyDescent="0.2">
      <c r="A18" s="12" t="s">
        <v>380</v>
      </c>
      <c r="B18" s="13">
        <v>497.87</v>
      </c>
      <c r="C18" s="13">
        <v>500.97</v>
      </c>
      <c r="D18" s="13">
        <v>507.47</v>
      </c>
      <c r="E18" s="13">
        <v>514.57000000000005</v>
      </c>
      <c r="F18" s="13">
        <v>523.97</v>
      </c>
      <c r="G18" s="13">
        <v>530.57000000000005</v>
      </c>
      <c r="H18" s="13">
        <v>533.67000000000007</v>
      </c>
      <c r="I18" s="13">
        <v>533.07000000000005</v>
      </c>
      <c r="J18" s="13">
        <v>526.87</v>
      </c>
      <c r="K18" s="13">
        <v>515.77</v>
      </c>
      <c r="L18" s="13">
        <v>505.67</v>
      </c>
      <c r="M18" s="13">
        <v>498.87</v>
      </c>
      <c r="N18" s="14">
        <v>515.77</v>
      </c>
      <c r="P18" s="13"/>
      <c r="Q18" s="13"/>
      <c r="R18" s="13"/>
      <c r="S18" s="13"/>
      <c r="T18" s="13"/>
    </row>
    <row r="19" spans="1:22" x14ac:dyDescent="0.2">
      <c r="A19" s="12" t="s">
        <v>62</v>
      </c>
      <c r="B19" s="13">
        <v>504.17</v>
      </c>
      <c r="C19" s="13">
        <v>507.67</v>
      </c>
      <c r="D19" s="13">
        <v>513.37</v>
      </c>
      <c r="E19" s="13">
        <v>520.17000000000007</v>
      </c>
      <c r="F19" s="13">
        <v>527.97</v>
      </c>
      <c r="G19" s="13">
        <v>532.97</v>
      </c>
      <c r="H19" s="13">
        <v>534.47</v>
      </c>
      <c r="I19" s="13">
        <v>534.07000000000005</v>
      </c>
      <c r="J19" s="13">
        <v>529.77</v>
      </c>
      <c r="K19" s="13">
        <v>521.27</v>
      </c>
      <c r="L19" s="13">
        <v>511.57</v>
      </c>
      <c r="M19" s="13">
        <v>505.17</v>
      </c>
      <c r="N19" s="14">
        <v>520.17000000000007</v>
      </c>
      <c r="P19" s="13"/>
      <c r="Q19" s="13"/>
      <c r="R19" s="13"/>
      <c r="S19" s="13"/>
      <c r="T19" s="13"/>
    </row>
    <row r="20" spans="1:22" x14ac:dyDescent="0.2">
      <c r="A20" s="12" t="s">
        <v>63</v>
      </c>
      <c r="B20" s="13">
        <v>497.27000000000004</v>
      </c>
      <c r="C20" s="13">
        <v>500.97</v>
      </c>
      <c r="D20" s="13">
        <v>507.77000000000004</v>
      </c>
      <c r="E20" s="13">
        <v>515.37</v>
      </c>
      <c r="F20" s="13">
        <v>524.37</v>
      </c>
      <c r="G20" s="13">
        <v>531.37</v>
      </c>
      <c r="H20" s="13">
        <v>534.67000000000007</v>
      </c>
      <c r="I20" s="13">
        <v>534.07000000000005</v>
      </c>
      <c r="J20" s="13">
        <v>526.97</v>
      </c>
      <c r="K20" s="13">
        <v>516.87</v>
      </c>
      <c r="L20" s="13">
        <v>506.57</v>
      </c>
      <c r="M20" s="13">
        <v>498.67</v>
      </c>
      <c r="N20" s="14">
        <v>516.27</v>
      </c>
      <c r="P20" s="13"/>
      <c r="Q20" s="13"/>
      <c r="R20" s="13"/>
      <c r="S20" s="13"/>
      <c r="T20" s="13"/>
    </row>
    <row r="21" spans="1:22" ht="13.5" thickBot="1" x14ac:dyDescent="0.25">
      <c r="A21" s="34" t="s">
        <v>64</v>
      </c>
      <c r="B21" s="16">
        <v>489.47</v>
      </c>
      <c r="C21" s="16">
        <v>493.17</v>
      </c>
      <c r="D21" s="16">
        <v>500.87</v>
      </c>
      <c r="E21" s="16">
        <v>509.07</v>
      </c>
      <c r="F21" s="16">
        <v>519.27</v>
      </c>
      <c r="G21" s="16">
        <v>527.27</v>
      </c>
      <c r="H21" s="16">
        <v>531.57000000000005</v>
      </c>
      <c r="I21" s="16">
        <v>531.07000000000005</v>
      </c>
      <c r="J21" s="16">
        <v>522.97</v>
      </c>
      <c r="K21" s="16">
        <v>511.67</v>
      </c>
      <c r="L21" s="16">
        <v>499.97</v>
      </c>
      <c r="M21" s="16">
        <v>490.47</v>
      </c>
      <c r="N21" s="17">
        <v>510.67</v>
      </c>
      <c r="P21" s="16"/>
      <c r="Q21" s="16"/>
      <c r="R21" s="13"/>
      <c r="S21" s="13"/>
      <c r="T21" s="13"/>
    </row>
    <row r="22" spans="1:22" ht="13.5" thickBot="1" x14ac:dyDescent="0.25">
      <c r="R22" s="21"/>
      <c r="S22" s="13"/>
      <c r="T22" s="13"/>
    </row>
    <row r="23" spans="1:22" x14ac:dyDescent="0.2">
      <c r="A23" s="9" t="s">
        <v>103</v>
      </c>
      <c r="B23" s="10" t="s">
        <v>78</v>
      </c>
      <c r="C23" s="10" t="s">
        <v>79</v>
      </c>
      <c r="D23" s="10" t="s">
        <v>80</v>
      </c>
      <c r="E23" s="10" t="s">
        <v>81</v>
      </c>
      <c r="F23" s="10" t="s">
        <v>82</v>
      </c>
      <c r="G23" s="10" t="s">
        <v>83</v>
      </c>
      <c r="H23" s="10" t="s">
        <v>84</v>
      </c>
      <c r="I23" s="10" t="s">
        <v>85</v>
      </c>
      <c r="J23" s="10" t="s">
        <v>86</v>
      </c>
      <c r="K23" s="10" t="s">
        <v>87</v>
      </c>
      <c r="L23" s="10" t="s">
        <v>88</v>
      </c>
      <c r="M23" s="10" t="s">
        <v>89</v>
      </c>
      <c r="N23" s="11" t="s">
        <v>106</v>
      </c>
      <c r="P23" s="10" t="s">
        <v>104</v>
      </c>
      <c r="Q23" s="10" t="s">
        <v>105</v>
      </c>
      <c r="R23" s="13"/>
      <c r="S23" s="13"/>
      <c r="T23" s="13"/>
    </row>
    <row r="24" spans="1:22" x14ac:dyDescent="0.2">
      <c r="A24" s="12" t="s">
        <v>48</v>
      </c>
      <c r="B24" s="13">
        <v>516.17000000000007</v>
      </c>
      <c r="C24" s="13">
        <v>520.27</v>
      </c>
      <c r="D24" s="13">
        <v>527.67000000000007</v>
      </c>
      <c r="E24" s="13">
        <v>536.27</v>
      </c>
      <c r="F24" s="13">
        <v>543.57000000000005</v>
      </c>
      <c r="G24" s="13">
        <v>549.57000000000005</v>
      </c>
      <c r="H24" s="13">
        <v>553.27</v>
      </c>
      <c r="I24" s="13">
        <v>552.47</v>
      </c>
      <c r="J24" s="13">
        <v>545.57000000000005</v>
      </c>
      <c r="K24" s="13">
        <v>536.47</v>
      </c>
      <c r="L24" s="13">
        <v>525.07000000000005</v>
      </c>
      <c r="M24" s="13">
        <v>517.07000000000005</v>
      </c>
      <c r="N24" s="14">
        <v>535.27</v>
      </c>
      <c r="P24" s="13" t="s">
        <v>108</v>
      </c>
      <c r="Q24" s="13" t="s">
        <v>149</v>
      </c>
      <c r="R24" s="13"/>
      <c r="S24" s="13"/>
      <c r="T24" s="13"/>
    </row>
    <row r="25" spans="1:22" x14ac:dyDescent="0.2">
      <c r="A25" s="12" t="s">
        <v>49</v>
      </c>
      <c r="B25" s="19">
        <v>509.77000000000004</v>
      </c>
      <c r="C25" s="19">
        <v>514.07000000000005</v>
      </c>
      <c r="D25" s="19">
        <v>521.57000000000005</v>
      </c>
      <c r="E25" s="19">
        <v>529.67000000000007</v>
      </c>
      <c r="F25" s="19">
        <v>538.57000000000005</v>
      </c>
      <c r="G25" s="19">
        <v>546.77</v>
      </c>
      <c r="H25" s="19">
        <v>550.17000000000007</v>
      </c>
      <c r="I25" s="19">
        <v>547.97</v>
      </c>
      <c r="J25" s="19">
        <v>541.47</v>
      </c>
      <c r="K25" s="19">
        <v>530.97</v>
      </c>
      <c r="L25" s="19">
        <v>518.67000000000007</v>
      </c>
      <c r="M25" s="19">
        <v>509.77000000000004</v>
      </c>
      <c r="N25" s="15">
        <v>529.97</v>
      </c>
      <c r="P25" s="13"/>
      <c r="Q25" s="13"/>
      <c r="R25" s="19"/>
      <c r="S25" s="19"/>
      <c r="T25" s="19"/>
    </row>
    <row r="26" spans="1:22" x14ac:dyDescent="0.2">
      <c r="A26" s="12" t="s">
        <v>50</v>
      </c>
      <c r="B26" s="19">
        <v>521.27</v>
      </c>
      <c r="C26" s="19">
        <v>524.97</v>
      </c>
      <c r="D26" s="19">
        <v>531.27</v>
      </c>
      <c r="E26" s="19">
        <v>538.57000000000005</v>
      </c>
      <c r="F26" s="19">
        <v>545.57000000000005</v>
      </c>
      <c r="G26" s="19">
        <v>551.17000000000007</v>
      </c>
      <c r="H26" s="19">
        <v>554.07000000000005</v>
      </c>
      <c r="I26" s="19">
        <v>555.17000000000007</v>
      </c>
      <c r="J26" s="19">
        <v>549.47</v>
      </c>
      <c r="K26" s="19">
        <v>541.07000000000005</v>
      </c>
      <c r="L26" s="19">
        <v>530.17000000000007</v>
      </c>
      <c r="M26" s="19">
        <v>522.77</v>
      </c>
      <c r="N26" s="14">
        <v>538.77</v>
      </c>
      <c r="P26" s="13"/>
      <c r="Q26" s="13"/>
      <c r="R26" s="19"/>
      <c r="S26" s="19"/>
      <c r="T26" s="13"/>
    </row>
    <row r="27" spans="1:22" x14ac:dyDescent="0.2">
      <c r="A27" s="12" t="s">
        <v>51</v>
      </c>
      <c r="B27" s="19">
        <v>530.27</v>
      </c>
      <c r="C27" s="19">
        <v>533.37</v>
      </c>
      <c r="D27" s="19">
        <v>537.77</v>
      </c>
      <c r="E27" s="19">
        <v>542.47</v>
      </c>
      <c r="F27" s="19">
        <v>547.67000000000007</v>
      </c>
      <c r="G27" s="19">
        <v>551.27</v>
      </c>
      <c r="H27" s="19">
        <v>552.47</v>
      </c>
      <c r="I27" s="19">
        <v>553.17000000000007</v>
      </c>
      <c r="J27" s="19">
        <v>549.27</v>
      </c>
      <c r="K27" s="19">
        <v>544.37</v>
      </c>
      <c r="L27" s="19">
        <v>537.67000000000007</v>
      </c>
      <c r="M27" s="19">
        <v>531.27</v>
      </c>
      <c r="N27" s="14">
        <v>542.57000000000005</v>
      </c>
      <c r="P27" s="13"/>
      <c r="Q27" s="13"/>
      <c r="R27" s="19"/>
      <c r="S27" s="19"/>
      <c r="T27" s="13"/>
    </row>
    <row r="28" spans="1:22" x14ac:dyDescent="0.2">
      <c r="A28" s="12" t="s">
        <v>52</v>
      </c>
      <c r="B28" s="19">
        <v>526.57000000000005</v>
      </c>
      <c r="C28" s="19">
        <v>530.27</v>
      </c>
      <c r="D28" s="19">
        <v>535.17000000000007</v>
      </c>
      <c r="E28" s="19">
        <v>540.77</v>
      </c>
      <c r="F28" s="19">
        <v>545.87</v>
      </c>
      <c r="G28" s="19">
        <v>550.07000000000005</v>
      </c>
      <c r="H28" s="19">
        <v>552.07000000000005</v>
      </c>
      <c r="I28" s="19">
        <v>553.47</v>
      </c>
      <c r="J28" s="19">
        <v>548.97</v>
      </c>
      <c r="K28" s="19">
        <v>543.37</v>
      </c>
      <c r="L28" s="19">
        <v>534.77</v>
      </c>
      <c r="M28" s="19">
        <v>528.17000000000007</v>
      </c>
      <c r="N28" s="14">
        <v>540.77</v>
      </c>
      <c r="P28" s="13"/>
      <c r="Q28" s="13"/>
      <c r="R28" s="19"/>
      <c r="S28" s="19"/>
      <c r="T28" s="13"/>
    </row>
    <row r="29" spans="1:22" x14ac:dyDescent="0.2">
      <c r="A29" s="35" t="s">
        <v>187</v>
      </c>
      <c r="B29" s="13">
        <v>515.87</v>
      </c>
      <c r="C29" s="13">
        <v>520.37</v>
      </c>
      <c r="D29" s="13">
        <v>527.47</v>
      </c>
      <c r="E29" s="13">
        <v>535.37</v>
      </c>
      <c r="F29" s="13">
        <v>543.07000000000005</v>
      </c>
      <c r="G29" s="13">
        <v>550.67000000000007</v>
      </c>
      <c r="H29" s="13">
        <v>554.97</v>
      </c>
      <c r="I29" s="13">
        <v>554.97</v>
      </c>
      <c r="J29" s="13">
        <v>547.47</v>
      </c>
      <c r="K29" s="13">
        <v>537.67000000000007</v>
      </c>
      <c r="L29" s="13">
        <v>525.87</v>
      </c>
      <c r="M29" s="13">
        <v>517.37</v>
      </c>
      <c r="N29" s="14">
        <v>535.97</v>
      </c>
      <c r="P29" s="382" t="s">
        <v>188</v>
      </c>
      <c r="Q29" s="382"/>
      <c r="R29" s="382"/>
      <c r="S29" s="382"/>
      <c r="T29" s="382"/>
      <c r="U29" s="382"/>
      <c r="V29" s="382"/>
    </row>
    <row r="30" spans="1:22" x14ac:dyDescent="0.2">
      <c r="A30" s="36" t="s">
        <v>53</v>
      </c>
      <c r="B30" s="19">
        <v>523.47</v>
      </c>
      <c r="C30" s="19">
        <v>528.27</v>
      </c>
      <c r="D30" s="19">
        <v>535.87</v>
      </c>
      <c r="E30" s="19">
        <v>543.27</v>
      </c>
      <c r="F30" s="19">
        <v>549.47</v>
      </c>
      <c r="G30" s="19">
        <v>554.37</v>
      </c>
      <c r="H30" s="19">
        <v>556.27</v>
      </c>
      <c r="I30" s="19">
        <v>556.77</v>
      </c>
      <c r="J30" s="19">
        <v>550.47</v>
      </c>
      <c r="K30" s="19">
        <v>542.07000000000005</v>
      </c>
      <c r="L30" s="19">
        <v>531.67000000000007</v>
      </c>
      <c r="M30" s="19">
        <v>523.67000000000007</v>
      </c>
      <c r="N30" s="14">
        <v>541.27</v>
      </c>
      <c r="P30" s="383" t="s">
        <v>189</v>
      </c>
      <c r="Q30" s="383"/>
      <c r="R30" s="383"/>
      <c r="S30" s="383"/>
      <c r="T30" s="383"/>
      <c r="U30" s="383"/>
    </row>
    <row r="31" spans="1:22" x14ac:dyDescent="0.2">
      <c r="A31" s="12" t="s">
        <v>54</v>
      </c>
      <c r="B31" s="19">
        <v>517.87</v>
      </c>
      <c r="C31" s="19">
        <v>522.87</v>
      </c>
      <c r="D31" s="19">
        <v>529.97</v>
      </c>
      <c r="E31" s="19">
        <v>538.37</v>
      </c>
      <c r="F31" s="19">
        <v>547.87</v>
      </c>
      <c r="G31" s="19">
        <v>555.07000000000005</v>
      </c>
      <c r="H31" s="19">
        <v>554.07000000000005</v>
      </c>
      <c r="I31" s="19">
        <v>552.07000000000005</v>
      </c>
      <c r="J31" s="19">
        <v>547.07000000000005</v>
      </c>
      <c r="K31" s="19">
        <v>537.97</v>
      </c>
      <c r="L31" s="19">
        <v>525.77</v>
      </c>
      <c r="M31" s="19">
        <v>516.97</v>
      </c>
      <c r="N31" s="14">
        <v>537.17000000000007</v>
      </c>
      <c r="P31" s="13"/>
      <c r="Q31" s="13"/>
      <c r="R31" s="19"/>
      <c r="S31" s="19"/>
      <c r="T31" s="13"/>
    </row>
    <row r="32" spans="1:22" x14ac:dyDescent="0.2">
      <c r="A32" s="33" t="s">
        <v>55</v>
      </c>
      <c r="B32" s="19">
        <v>521.47</v>
      </c>
      <c r="C32" s="19">
        <v>523.97</v>
      </c>
      <c r="D32" s="19">
        <v>529.87</v>
      </c>
      <c r="E32" s="19">
        <v>535.57000000000005</v>
      </c>
      <c r="F32" s="19">
        <v>542.67000000000007</v>
      </c>
      <c r="G32" s="19">
        <v>547.87</v>
      </c>
      <c r="H32" s="19">
        <v>549.27</v>
      </c>
      <c r="I32" s="19">
        <v>549.97</v>
      </c>
      <c r="J32" s="19">
        <v>547.07000000000005</v>
      </c>
      <c r="K32" s="19">
        <v>540.27</v>
      </c>
      <c r="L32" s="19">
        <v>531.27</v>
      </c>
      <c r="M32" s="19">
        <v>523.57000000000005</v>
      </c>
      <c r="N32" s="14">
        <v>536.87</v>
      </c>
      <c r="P32" s="13"/>
      <c r="Q32" s="13"/>
      <c r="R32" s="19"/>
      <c r="S32" s="19"/>
      <c r="T32" s="13"/>
    </row>
    <row r="33" spans="1:20" x14ac:dyDescent="0.2">
      <c r="A33" s="12" t="s">
        <v>56</v>
      </c>
      <c r="B33" s="19">
        <v>522.27</v>
      </c>
      <c r="C33" s="19">
        <v>526.07000000000005</v>
      </c>
      <c r="D33" s="19">
        <v>531.97</v>
      </c>
      <c r="E33" s="19">
        <v>538.37</v>
      </c>
      <c r="F33" s="19">
        <v>545.57000000000005</v>
      </c>
      <c r="G33" s="19">
        <v>550.37</v>
      </c>
      <c r="H33" s="19">
        <v>552.77</v>
      </c>
      <c r="I33" s="19">
        <v>553.07000000000005</v>
      </c>
      <c r="J33" s="19">
        <v>548.57000000000005</v>
      </c>
      <c r="K33" s="19">
        <v>540.87</v>
      </c>
      <c r="L33" s="19">
        <v>530.87</v>
      </c>
      <c r="M33" s="19">
        <v>523.77</v>
      </c>
      <c r="N33" s="14">
        <v>538.67000000000007</v>
      </c>
      <c r="P33" s="13"/>
      <c r="Q33" s="13"/>
      <c r="R33" s="19"/>
      <c r="S33" s="19"/>
      <c r="T33" s="13"/>
    </row>
    <row r="34" spans="1:20" x14ac:dyDescent="0.2">
      <c r="A34" s="12" t="s">
        <v>57</v>
      </c>
      <c r="B34" s="19">
        <v>513.67000000000007</v>
      </c>
      <c r="C34" s="19">
        <v>518.47</v>
      </c>
      <c r="D34" s="19">
        <v>525.77</v>
      </c>
      <c r="E34" s="19">
        <v>534.37</v>
      </c>
      <c r="F34" s="19">
        <v>542.97</v>
      </c>
      <c r="G34" s="19">
        <v>549.97</v>
      </c>
      <c r="H34" s="19">
        <v>551.97</v>
      </c>
      <c r="I34" s="19">
        <v>550.27</v>
      </c>
      <c r="J34" s="19">
        <v>543.67000000000007</v>
      </c>
      <c r="K34" s="19">
        <v>534.47</v>
      </c>
      <c r="L34" s="19">
        <v>522.37</v>
      </c>
      <c r="M34" s="19">
        <v>514.27</v>
      </c>
      <c r="N34" s="14">
        <v>533.57000000000005</v>
      </c>
      <c r="P34" s="13"/>
      <c r="Q34" s="13"/>
      <c r="R34" s="19"/>
      <c r="S34" s="19"/>
      <c r="T34" s="13"/>
    </row>
    <row r="35" spans="1:20" x14ac:dyDescent="0.2">
      <c r="A35" s="12" t="s">
        <v>116</v>
      </c>
      <c r="B35" s="19">
        <v>519.47</v>
      </c>
      <c r="C35" s="19">
        <v>523.67000000000007</v>
      </c>
      <c r="D35" s="19">
        <v>530.17000000000007</v>
      </c>
      <c r="E35" s="19">
        <v>537.17000000000007</v>
      </c>
      <c r="F35" s="19">
        <v>544.27</v>
      </c>
      <c r="G35" s="19">
        <v>549.67000000000007</v>
      </c>
      <c r="H35" s="19">
        <v>552.77</v>
      </c>
      <c r="I35" s="19">
        <v>553.27</v>
      </c>
      <c r="J35" s="19">
        <v>547.97</v>
      </c>
      <c r="K35" s="19">
        <v>539.17000000000007</v>
      </c>
      <c r="L35" s="19">
        <v>528.47</v>
      </c>
      <c r="M35" s="19">
        <v>520.77</v>
      </c>
      <c r="N35" s="14">
        <v>537.27</v>
      </c>
      <c r="P35" s="13"/>
      <c r="Q35" s="13"/>
      <c r="R35" s="19"/>
      <c r="S35" s="19"/>
      <c r="T35" s="13"/>
    </row>
    <row r="36" spans="1:20" x14ac:dyDescent="0.2">
      <c r="A36" s="12" t="s">
        <v>58</v>
      </c>
      <c r="B36" s="19">
        <v>517.07000000000005</v>
      </c>
      <c r="C36" s="19">
        <v>521.87</v>
      </c>
      <c r="D36" s="19">
        <v>529.07000000000005</v>
      </c>
      <c r="E36" s="19">
        <v>538.07000000000005</v>
      </c>
      <c r="F36" s="19">
        <v>546.77</v>
      </c>
      <c r="G36" s="19">
        <v>552.67000000000007</v>
      </c>
      <c r="H36" s="19">
        <v>553.47</v>
      </c>
      <c r="I36" s="19">
        <v>552.07000000000005</v>
      </c>
      <c r="J36" s="19">
        <v>545.67000000000007</v>
      </c>
      <c r="K36" s="19">
        <v>537.17000000000007</v>
      </c>
      <c r="L36" s="19">
        <v>525.27</v>
      </c>
      <c r="M36" s="19">
        <v>517.77</v>
      </c>
      <c r="N36" s="15">
        <v>536.37</v>
      </c>
      <c r="P36" s="13"/>
      <c r="Q36" s="13"/>
      <c r="R36" s="19"/>
      <c r="S36" s="19"/>
      <c r="T36" s="19"/>
    </row>
    <row r="37" spans="1:20" x14ac:dyDescent="0.2">
      <c r="A37" s="12" t="s">
        <v>59</v>
      </c>
      <c r="B37" s="19">
        <v>521.57000000000005</v>
      </c>
      <c r="C37" s="19">
        <v>524.97</v>
      </c>
      <c r="D37" s="19">
        <v>530.87</v>
      </c>
      <c r="E37" s="19">
        <v>536.97</v>
      </c>
      <c r="F37" s="19">
        <v>543.97</v>
      </c>
      <c r="G37" s="19">
        <v>548.77</v>
      </c>
      <c r="H37" s="19">
        <v>550.67000000000007</v>
      </c>
      <c r="I37" s="19">
        <v>551.17000000000007</v>
      </c>
      <c r="J37" s="19">
        <v>547.47</v>
      </c>
      <c r="K37" s="19">
        <v>539.87</v>
      </c>
      <c r="L37" s="19">
        <v>530.17000000000007</v>
      </c>
      <c r="M37" s="19">
        <v>523.07000000000005</v>
      </c>
      <c r="N37" s="14">
        <v>537.47</v>
      </c>
      <c r="P37" s="13"/>
      <c r="Q37" s="13"/>
      <c r="R37" s="19"/>
      <c r="S37" s="19"/>
      <c r="T37" s="13"/>
    </row>
    <row r="38" spans="1:20" x14ac:dyDescent="0.2">
      <c r="A38" s="12" t="s">
        <v>60</v>
      </c>
      <c r="B38" s="19">
        <v>519.17000000000007</v>
      </c>
      <c r="C38" s="19">
        <v>523.37</v>
      </c>
      <c r="D38" s="19">
        <v>530.37</v>
      </c>
      <c r="E38" s="19">
        <v>539.17000000000007</v>
      </c>
      <c r="F38" s="19">
        <v>547.07000000000005</v>
      </c>
      <c r="G38" s="19">
        <v>552.07000000000005</v>
      </c>
      <c r="H38" s="19">
        <v>554.77</v>
      </c>
      <c r="I38" s="19">
        <v>553.67000000000007</v>
      </c>
      <c r="J38" s="19">
        <v>547.07000000000005</v>
      </c>
      <c r="K38" s="19">
        <v>538.27</v>
      </c>
      <c r="L38" s="19">
        <v>527.07000000000005</v>
      </c>
      <c r="M38" s="19">
        <v>520.17000000000007</v>
      </c>
      <c r="N38" s="14">
        <v>537.67000000000007</v>
      </c>
      <c r="P38" s="13"/>
      <c r="Q38" s="13"/>
      <c r="R38" s="19"/>
      <c r="S38" s="19"/>
      <c r="T38" s="13"/>
    </row>
    <row r="39" spans="1:20" x14ac:dyDescent="0.2">
      <c r="A39" s="12" t="s">
        <v>61</v>
      </c>
      <c r="B39" s="19">
        <v>522.57000000000005</v>
      </c>
      <c r="C39" s="19">
        <v>526.87</v>
      </c>
      <c r="D39" s="19">
        <v>532.77</v>
      </c>
      <c r="E39" s="19">
        <v>539.57000000000005</v>
      </c>
      <c r="F39" s="19">
        <v>546.27</v>
      </c>
      <c r="G39" s="19">
        <v>551.57000000000005</v>
      </c>
      <c r="H39" s="19">
        <v>553.67000000000007</v>
      </c>
      <c r="I39" s="19">
        <v>554.67000000000007</v>
      </c>
      <c r="J39" s="19">
        <v>549.17000000000007</v>
      </c>
      <c r="K39" s="19">
        <v>541.27</v>
      </c>
      <c r="L39" s="19">
        <v>530.97</v>
      </c>
      <c r="M39" s="19">
        <v>523.97</v>
      </c>
      <c r="N39" s="14">
        <v>539.47</v>
      </c>
      <c r="P39" s="13"/>
      <c r="Q39" s="13"/>
      <c r="R39" s="19"/>
      <c r="S39" s="19"/>
      <c r="T39" s="13"/>
    </row>
    <row r="40" spans="1:20" x14ac:dyDescent="0.2">
      <c r="A40" s="12" t="s">
        <v>380</v>
      </c>
      <c r="B40" s="19">
        <v>516.87</v>
      </c>
      <c r="C40" s="19">
        <v>524.07000000000005</v>
      </c>
      <c r="D40" s="19">
        <v>528.17000000000007</v>
      </c>
      <c r="E40" s="19">
        <v>535.77</v>
      </c>
      <c r="F40" s="19">
        <v>542.97</v>
      </c>
      <c r="G40" s="19">
        <v>549.27</v>
      </c>
      <c r="H40" s="19">
        <v>552.57000000000005</v>
      </c>
      <c r="I40" s="19">
        <v>552.97</v>
      </c>
      <c r="J40" s="19">
        <v>547.27</v>
      </c>
      <c r="K40" s="19">
        <v>537.47</v>
      </c>
      <c r="L40" s="19">
        <v>526.17000000000007</v>
      </c>
      <c r="M40" s="19">
        <v>518.07000000000005</v>
      </c>
      <c r="N40" s="14">
        <v>535.67000000000007</v>
      </c>
      <c r="P40" s="13"/>
      <c r="Q40" s="13"/>
      <c r="R40" s="19"/>
      <c r="S40" s="19"/>
      <c r="T40" s="13"/>
    </row>
    <row r="41" spans="1:20" x14ac:dyDescent="0.2">
      <c r="A41" s="12" t="s">
        <v>62</v>
      </c>
      <c r="B41" s="19">
        <v>524.27</v>
      </c>
      <c r="C41" s="19">
        <v>527.87</v>
      </c>
      <c r="D41" s="19">
        <v>533.17000000000007</v>
      </c>
      <c r="E41" s="19">
        <v>539.27</v>
      </c>
      <c r="F41" s="19">
        <v>545.77</v>
      </c>
      <c r="G41" s="19">
        <v>550.67000000000007</v>
      </c>
      <c r="H41" s="19">
        <v>552.77</v>
      </c>
      <c r="I41" s="19">
        <v>553.67000000000007</v>
      </c>
      <c r="J41" s="19">
        <v>549.17000000000007</v>
      </c>
      <c r="K41" s="19">
        <v>542.37</v>
      </c>
      <c r="L41" s="19">
        <v>532.77</v>
      </c>
      <c r="M41" s="19">
        <v>525.77</v>
      </c>
      <c r="N41" s="14">
        <v>539.77</v>
      </c>
      <c r="P41" s="13"/>
      <c r="Q41" s="13"/>
      <c r="R41" s="19"/>
      <c r="S41" s="19"/>
      <c r="T41" s="13"/>
    </row>
    <row r="42" spans="1:20" x14ac:dyDescent="0.2">
      <c r="A42" s="12" t="s">
        <v>63</v>
      </c>
      <c r="B42" s="19">
        <v>518.07000000000005</v>
      </c>
      <c r="C42" s="19">
        <v>522.07000000000005</v>
      </c>
      <c r="D42" s="19">
        <v>528.87</v>
      </c>
      <c r="E42" s="19">
        <v>536.77</v>
      </c>
      <c r="F42" s="19">
        <v>544.37</v>
      </c>
      <c r="G42" s="19">
        <v>551.17000000000007</v>
      </c>
      <c r="H42" s="19">
        <v>555.47</v>
      </c>
      <c r="I42" s="19">
        <v>555.67000000000007</v>
      </c>
      <c r="J42" s="19">
        <v>549.07000000000005</v>
      </c>
      <c r="K42" s="19">
        <v>539.47</v>
      </c>
      <c r="L42" s="19">
        <v>527.67000000000007</v>
      </c>
      <c r="M42" s="19">
        <v>519.37</v>
      </c>
      <c r="N42" s="14">
        <v>537.37</v>
      </c>
      <c r="P42" s="13"/>
      <c r="Q42" s="13"/>
      <c r="R42" s="19"/>
      <c r="S42" s="19"/>
      <c r="T42" s="13"/>
    </row>
    <row r="43" spans="1:20" ht="13.5" thickBot="1" x14ac:dyDescent="0.25">
      <c r="A43" s="34" t="s">
        <v>64</v>
      </c>
      <c r="B43" s="20">
        <v>513.87</v>
      </c>
      <c r="C43" s="20">
        <v>517.97</v>
      </c>
      <c r="D43" s="20">
        <v>526.67000000000007</v>
      </c>
      <c r="E43" s="20">
        <v>535.47</v>
      </c>
      <c r="F43" s="20">
        <v>543.27</v>
      </c>
      <c r="G43" s="20">
        <v>551.07000000000005</v>
      </c>
      <c r="H43" s="20">
        <v>556.57000000000005</v>
      </c>
      <c r="I43" s="20">
        <v>556.27</v>
      </c>
      <c r="J43" s="20">
        <v>547.77</v>
      </c>
      <c r="K43" s="20">
        <v>536.67000000000007</v>
      </c>
      <c r="L43" s="20">
        <v>524.77</v>
      </c>
      <c r="M43" s="20">
        <v>514.37</v>
      </c>
      <c r="N43" s="17">
        <v>535.37</v>
      </c>
      <c r="P43" s="16"/>
      <c r="Q43" s="16"/>
      <c r="R43" s="19"/>
      <c r="S43" s="19"/>
      <c r="T43" s="13"/>
    </row>
    <row r="44" spans="1:20" ht="13.5" thickBot="1" x14ac:dyDescent="0.25">
      <c r="R44" s="13"/>
      <c r="S44" s="13"/>
      <c r="T44" s="13"/>
    </row>
    <row r="45" spans="1:20" x14ac:dyDescent="0.2">
      <c r="A45" s="9" t="s">
        <v>103</v>
      </c>
      <c r="B45" s="10" t="s">
        <v>78</v>
      </c>
      <c r="C45" s="10" t="s">
        <v>79</v>
      </c>
      <c r="D45" s="10" t="s">
        <v>80</v>
      </c>
      <c r="E45" s="10" t="s">
        <v>81</v>
      </c>
      <c r="F45" s="10" t="s">
        <v>82</v>
      </c>
      <c r="G45" s="10" t="s">
        <v>83</v>
      </c>
      <c r="H45" s="10" t="s">
        <v>84</v>
      </c>
      <c r="I45" s="10" t="s">
        <v>85</v>
      </c>
      <c r="J45" s="10" t="s">
        <v>86</v>
      </c>
      <c r="K45" s="10" t="s">
        <v>87</v>
      </c>
      <c r="L45" s="10" t="s">
        <v>88</v>
      </c>
      <c r="M45" s="10" t="s">
        <v>89</v>
      </c>
      <c r="N45" s="11" t="s">
        <v>106</v>
      </c>
      <c r="P45" s="10" t="s">
        <v>104</v>
      </c>
      <c r="Q45" s="10" t="s">
        <v>105</v>
      </c>
    </row>
    <row r="46" spans="1:20" x14ac:dyDescent="0.2">
      <c r="A46" s="12" t="s">
        <v>48</v>
      </c>
      <c r="B46" s="13">
        <v>11</v>
      </c>
      <c r="C46" s="13">
        <v>11.4</v>
      </c>
      <c r="D46" s="13">
        <v>12.5</v>
      </c>
      <c r="E46" s="13">
        <v>13.2</v>
      </c>
      <c r="F46" s="13">
        <v>11.9</v>
      </c>
      <c r="G46" s="13">
        <v>11.2</v>
      </c>
      <c r="H46" s="13">
        <v>10.1</v>
      </c>
      <c r="I46" s="13">
        <v>8.6999999999999993</v>
      </c>
      <c r="J46" s="13">
        <v>8.9</v>
      </c>
      <c r="K46" s="13">
        <v>10.3</v>
      </c>
      <c r="L46" s="13">
        <v>10.7</v>
      </c>
      <c r="M46" s="13">
        <v>10.7</v>
      </c>
      <c r="N46" s="14">
        <v>11</v>
      </c>
      <c r="P46" s="13" t="s">
        <v>109</v>
      </c>
      <c r="Q46" s="13" t="s">
        <v>113</v>
      </c>
    </row>
    <row r="47" spans="1:20" x14ac:dyDescent="0.2">
      <c r="A47" s="12" t="s">
        <v>49</v>
      </c>
      <c r="B47" s="19">
        <v>12.1</v>
      </c>
      <c r="C47" s="19">
        <v>12.5</v>
      </c>
      <c r="D47" s="19">
        <v>13.9</v>
      </c>
      <c r="E47" s="19">
        <v>14.8</v>
      </c>
      <c r="F47" s="19">
        <v>13.6</v>
      </c>
      <c r="G47" s="19">
        <v>13.9</v>
      </c>
      <c r="H47" s="19">
        <v>12.3</v>
      </c>
      <c r="I47" s="19">
        <v>11.6</v>
      </c>
      <c r="J47" s="19">
        <v>12.1</v>
      </c>
      <c r="K47" s="19">
        <v>12.5</v>
      </c>
      <c r="L47" s="19">
        <v>12.5</v>
      </c>
      <c r="M47" s="19">
        <v>12.1</v>
      </c>
      <c r="N47" s="15">
        <v>12.8</v>
      </c>
      <c r="P47" s="13"/>
      <c r="Q47" s="13"/>
    </row>
    <row r="48" spans="1:20" x14ac:dyDescent="0.2">
      <c r="A48" s="12" t="s">
        <v>50</v>
      </c>
      <c r="B48" s="19">
        <v>8.3000000000000007</v>
      </c>
      <c r="C48" s="19">
        <v>8.6999999999999993</v>
      </c>
      <c r="D48" s="19">
        <v>9.1999999999999993</v>
      </c>
      <c r="E48" s="19">
        <v>8.9</v>
      </c>
      <c r="F48" s="19">
        <v>8.5</v>
      </c>
      <c r="G48" s="19">
        <v>8.1</v>
      </c>
      <c r="H48" s="19">
        <v>7.4</v>
      </c>
      <c r="I48" s="19">
        <v>6.5</v>
      </c>
      <c r="J48" s="19">
        <v>6.3</v>
      </c>
      <c r="K48" s="19">
        <v>6.9</v>
      </c>
      <c r="L48" s="19">
        <v>7.6</v>
      </c>
      <c r="M48" s="19">
        <v>7.8</v>
      </c>
      <c r="N48" s="14">
        <v>7.8</v>
      </c>
      <c r="P48" s="13"/>
      <c r="Q48" s="13"/>
    </row>
    <row r="49" spans="1:22" x14ac:dyDescent="0.2">
      <c r="A49" s="12" t="s">
        <v>51</v>
      </c>
      <c r="B49" s="19">
        <v>10.1</v>
      </c>
      <c r="C49" s="19">
        <v>11.2</v>
      </c>
      <c r="D49" s="19">
        <v>11.9</v>
      </c>
      <c r="E49" s="19">
        <v>12.5</v>
      </c>
      <c r="F49" s="19">
        <v>12.1</v>
      </c>
      <c r="G49" s="19">
        <v>11</v>
      </c>
      <c r="H49" s="19">
        <v>11</v>
      </c>
      <c r="I49" s="19">
        <v>9.1999999999999993</v>
      </c>
      <c r="J49" s="19">
        <v>7.4</v>
      </c>
      <c r="K49" s="19">
        <v>8.6999999999999993</v>
      </c>
      <c r="L49" s="19">
        <v>9.1999999999999993</v>
      </c>
      <c r="M49" s="19">
        <v>9.6</v>
      </c>
      <c r="N49" s="14">
        <v>10.3</v>
      </c>
      <c r="P49" s="13"/>
      <c r="Q49" s="13"/>
    </row>
    <row r="50" spans="1:22" x14ac:dyDescent="0.2">
      <c r="A50" s="12" t="s">
        <v>52</v>
      </c>
      <c r="B50" s="13">
        <v>12.1</v>
      </c>
      <c r="C50" s="19">
        <v>12.5</v>
      </c>
      <c r="D50" s="19">
        <v>13.4</v>
      </c>
      <c r="E50" s="19">
        <v>14.1</v>
      </c>
      <c r="F50" s="19">
        <v>12.5</v>
      </c>
      <c r="G50" s="19">
        <v>10.5</v>
      </c>
      <c r="H50" s="19">
        <v>10.7</v>
      </c>
      <c r="I50" s="19">
        <v>9.8000000000000007</v>
      </c>
      <c r="J50" s="19">
        <v>9.1999999999999993</v>
      </c>
      <c r="K50" s="19">
        <v>10.7</v>
      </c>
      <c r="L50" s="19">
        <v>11.4</v>
      </c>
      <c r="M50" s="19">
        <v>11.6</v>
      </c>
      <c r="N50" s="14">
        <v>11.6</v>
      </c>
      <c r="P50" s="13"/>
      <c r="Q50" s="13"/>
    </row>
    <row r="51" spans="1:22" x14ac:dyDescent="0.2">
      <c r="A51" s="35" t="s">
        <v>187</v>
      </c>
      <c r="B51" s="13">
        <v>10.5</v>
      </c>
      <c r="C51" s="19">
        <v>10.7</v>
      </c>
      <c r="D51" s="19">
        <v>11.9</v>
      </c>
      <c r="E51" s="19">
        <v>12.1</v>
      </c>
      <c r="F51" s="19">
        <v>11</v>
      </c>
      <c r="G51" s="19">
        <v>10.5</v>
      </c>
      <c r="H51" s="19">
        <v>9.8000000000000007</v>
      </c>
      <c r="I51" s="19">
        <v>8.5</v>
      </c>
      <c r="J51" s="19">
        <v>8.3000000000000007</v>
      </c>
      <c r="K51" s="19">
        <v>9.4</v>
      </c>
      <c r="L51" s="19">
        <v>10.3</v>
      </c>
      <c r="M51" s="19">
        <v>10.3</v>
      </c>
      <c r="N51" s="14">
        <v>10.3</v>
      </c>
      <c r="P51" s="13"/>
      <c r="Q51" s="13"/>
    </row>
    <row r="52" spans="1:22" x14ac:dyDescent="0.2">
      <c r="A52" s="36" t="s">
        <v>53</v>
      </c>
      <c r="B52" s="19">
        <v>7.2</v>
      </c>
      <c r="C52" s="19">
        <v>8.1999999999999993</v>
      </c>
      <c r="D52" s="19">
        <v>9.4</v>
      </c>
      <c r="E52" s="19">
        <v>10.199999999999999</v>
      </c>
      <c r="F52" s="19">
        <v>10.3</v>
      </c>
      <c r="G52" s="19">
        <v>10.6</v>
      </c>
      <c r="H52" s="19">
        <v>9.9</v>
      </c>
      <c r="I52" s="19">
        <v>8.8000000000000007</v>
      </c>
      <c r="J52" s="19">
        <v>7.7</v>
      </c>
      <c r="K52" s="19">
        <v>8</v>
      </c>
      <c r="L52" s="19">
        <v>7.3</v>
      </c>
      <c r="M52" s="19">
        <v>7</v>
      </c>
      <c r="N52" s="14">
        <v>8.6999999999999993</v>
      </c>
      <c r="P52" s="13"/>
      <c r="Q52" s="13"/>
    </row>
    <row r="53" spans="1:22" x14ac:dyDescent="0.2">
      <c r="A53" s="12" t="s">
        <v>54</v>
      </c>
      <c r="B53" s="19">
        <v>7.8</v>
      </c>
      <c r="C53" s="19">
        <v>8.9</v>
      </c>
      <c r="D53" s="19">
        <v>10.1</v>
      </c>
      <c r="E53" s="19">
        <v>11</v>
      </c>
      <c r="F53" s="19">
        <v>10.1</v>
      </c>
      <c r="G53" s="13">
        <v>9.1999999999999993</v>
      </c>
      <c r="H53" s="19">
        <v>8.1</v>
      </c>
      <c r="I53" s="19">
        <v>7.4</v>
      </c>
      <c r="J53" s="19">
        <v>7.4</v>
      </c>
      <c r="K53" s="19">
        <v>7.6</v>
      </c>
      <c r="L53" s="19">
        <v>7.4</v>
      </c>
      <c r="M53" s="19">
        <v>7.4</v>
      </c>
      <c r="N53" s="14">
        <v>8.5</v>
      </c>
      <c r="P53" s="382" t="s">
        <v>188</v>
      </c>
      <c r="Q53" s="382"/>
      <c r="R53" s="382"/>
      <c r="S53" s="382"/>
      <c r="T53" s="382"/>
      <c r="U53" s="382"/>
      <c r="V53" s="382"/>
    </row>
    <row r="54" spans="1:22" x14ac:dyDescent="0.2">
      <c r="A54" s="33" t="s">
        <v>55</v>
      </c>
      <c r="B54" s="19">
        <v>11.5</v>
      </c>
      <c r="C54" s="19">
        <v>11.8</v>
      </c>
      <c r="D54" s="19">
        <v>12</v>
      </c>
      <c r="E54" s="19">
        <v>12.6</v>
      </c>
      <c r="F54" s="19">
        <v>12.6</v>
      </c>
      <c r="G54" s="13">
        <v>11.1</v>
      </c>
      <c r="H54" s="19">
        <v>9.6</v>
      </c>
      <c r="I54" s="19">
        <v>9.5</v>
      </c>
      <c r="J54" s="19">
        <v>9.6999999999999993</v>
      </c>
      <c r="K54" s="19">
        <v>10.6</v>
      </c>
      <c r="L54" s="19">
        <v>11.1</v>
      </c>
      <c r="M54" s="19">
        <v>11.5</v>
      </c>
      <c r="N54" s="14">
        <v>11.1</v>
      </c>
      <c r="P54" s="383" t="s">
        <v>189</v>
      </c>
      <c r="Q54" s="383"/>
      <c r="R54" s="383"/>
      <c r="S54" s="383"/>
      <c r="T54" s="383"/>
      <c r="U54" s="383"/>
    </row>
    <row r="55" spans="1:22" x14ac:dyDescent="0.2">
      <c r="A55" s="12" t="s">
        <v>56</v>
      </c>
      <c r="B55" s="19">
        <v>7.8</v>
      </c>
      <c r="C55" s="19">
        <v>8.3000000000000007</v>
      </c>
      <c r="D55" s="19">
        <v>8.5</v>
      </c>
      <c r="E55" s="19">
        <v>8.9</v>
      </c>
      <c r="F55" s="19">
        <v>8.1</v>
      </c>
      <c r="G55" s="19">
        <v>6.7</v>
      </c>
      <c r="H55" s="19">
        <v>5.8</v>
      </c>
      <c r="I55" s="19">
        <v>5.6</v>
      </c>
      <c r="J55" s="19">
        <v>6</v>
      </c>
      <c r="K55" s="19">
        <v>6.7</v>
      </c>
      <c r="L55" s="19">
        <v>7.2</v>
      </c>
      <c r="M55" s="19">
        <v>7.6</v>
      </c>
      <c r="N55" s="14">
        <v>7.4</v>
      </c>
      <c r="P55" s="13"/>
      <c r="Q55" s="13"/>
    </row>
    <row r="56" spans="1:22" x14ac:dyDescent="0.2">
      <c r="A56" s="12" t="s">
        <v>57</v>
      </c>
      <c r="B56" s="19">
        <v>11.6</v>
      </c>
      <c r="C56" s="19">
        <v>12.3</v>
      </c>
      <c r="D56" s="19">
        <v>13.9</v>
      </c>
      <c r="E56" s="19">
        <v>14.3</v>
      </c>
      <c r="F56" s="19">
        <v>13.6</v>
      </c>
      <c r="G56" s="19">
        <v>13</v>
      </c>
      <c r="H56" s="19">
        <v>11</v>
      </c>
      <c r="I56" s="19">
        <v>9.8000000000000007</v>
      </c>
      <c r="J56" s="19">
        <v>10.1</v>
      </c>
      <c r="K56" s="19">
        <v>11</v>
      </c>
      <c r="L56" s="19">
        <v>11.4</v>
      </c>
      <c r="M56" s="19">
        <v>11.4</v>
      </c>
      <c r="N56" s="14">
        <v>11.9</v>
      </c>
      <c r="P56" s="13"/>
      <c r="Q56" s="13"/>
    </row>
    <row r="57" spans="1:22" x14ac:dyDescent="0.2">
      <c r="A57" s="12" t="s">
        <v>116</v>
      </c>
      <c r="B57" s="19">
        <v>6.9</v>
      </c>
      <c r="C57" s="19">
        <v>7.4</v>
      </c>
      <c r="D57" s="19">
        <v>7.6</v>
      </c>
      <c r="E57" s="19">
        <v>7.6</v>
      </c>
      <c r="F57" s="19">
        <v>6.9</v>
      </c>
      <c r="G57" s="19">
        <v>5.8</v>
      </c>
      <c r="H57" s="19">
        <v>5.4</v>
      </c>
      <c r="I57" s="19">
        <v>4.9000000000000004</v>
      </c>
      <c r="J57" s="19">
        <v>5.4</v>
      </c>
      <c r="K57" s="19">
        <v>5.8</v>
      </c>
      <c r="L57" s="19">
        <v>6.3</v>
      </c>
      <c r="M57" s="19">
        <v>6.5</v>
      </c>
      <c r="N57" s="14">
        <v>6.5</v>
      </c>
      <c r="P57" s="13"/>
      <c r="Q57" s="13"/>
    </row>
    <row r="58" spans="1:22" x14ac:dyDescent="0.2">
      <c r="A58" s="12" t="s">
        <v>58</v>
      </c>
      <c r="B58" s="19">
        <v>10.1</v>
      </c>
      <c r="C58" s="19">
        <v>11</v>
      </c>
      <c r="D58" s="19">
        <v>12.1</v>
      </c>
      <c r="E58" s="19">
        <v>12.8</v>
      </c>
      <c r="F58" s="19">
        <v>12.3</v>
      </c>
      <c r="G58" s="19">
        <v>12.3</v>
      </c>
      <c r="H58" s="19">
        <v>10.7</v>
      </c>
      <c r="I58" s="19">
        <v>9.6</v>
      </c>
      <c r="J58" s="19">
        <v>9.6</v>
      </c>
      <c r="K58" s="19">
        <v>10.3</v>
      </c>
      <c r="L58" s="19">
        <v>9.8000000000000007</v>
      </c>
      <c r="M58" s="19">
        <v>9.8000000000000007</v>
      </c>
      <c r="N58" s="15">
        <v>11</v>
      </c>
      <c r="P58" s="13"/>
      <c r="Q58" s="13"/>
    </row>
    <row r="59" spans="1:22" x14ac:dyDescent="0.2">
      <c r="A59" s="12" t="s">
        <v>59</v>
      </c>
      <c r="B59" s="19">
        <v>9.6</v>
      </c>
      <c r="C59" s="19">
        <v>10.1</v>
      </c>
      <c r="D59" s="19">
        <v>10.3</v>
      </c>
      <c r="E59" s="19">
        <v>10.3</v>
      </c>
      <c r="F59" s="19">
        <v>9.1999999999999993</v>
      </c>
      <c r="G59" s="19">
        <v>7.6</v>
      </c>
      <c r="H59" s="19">
        <v>6</v>
      </c>
      <c r="I59" s="19">
        <v>5.8</v>
      </c>
      <c r="J59" s="19">
        <v>7.2</v>
      </c>
      <c r="K59" s="19">
        <v>8.1</v>
      </c>
      <c r="L59" s="19">
        <v>8.5</v>
      </c>
      <c r="M59" s="19">
        <v>9.1999999999999993</v>
      </c>
      <c r="N59" s="14">
        <v>8.5</v>
      </c>
      <c r="P59" s="13"/>
      <c r="Q59" s="13"/>
    </row>
    <row r="60" spans="1:22" x14ac:dyDescent="0.2">
      <c r="A60" s="12" t="s">
        <v>60</v>
      </c>
      <c r="B60" s="19">
        <v>9.6</v>
      </c>
      <c r="C60" s="19">
        <v>10.1</v>
      </c>
      <c r="D60" s="19">
        <v>10.7</v>
      </c>
      <c r="E60" s="19">
        <v>11.4</v>
      </c>
      <c r="F60" s="19">
        <v>10.5</v>
      </c>
      <c r="G60" s="19">
        <v>10.1</v>
      </c>
      <c r="H60" s="19">
        <v>9.1999999999999993</v>
      </c>
      <c r="I60" s="19">
        <v>8.1</v>
      </c>
      <c r="J60" s="19">
        <v>7.8</v>
      </c>
      <c r="K60" s="19">
        <v>8.5</v>
      </c>
      <c r="L60" s="19">
        <v>9.1999999999999993</v>
      </c>
      <c r="M60" s="19">
        <v>9.4</v>
      </c>
      <c r="N60" s="14">
        <v>9.6</v>
      </c>
      <c r="P60" s="13"/>
      <c r="Q60" s="13"/>
    </row>
    <row r="61" spans="1:22" x14ac:dyDescent="0.2">
      <c r="A61" s="12" t="s">
        <v>61</v>
      </c>
      <c r="B61" s="19">
        <v>7.6</v>
      </c>
      <c r="C61" s="19">
        <v>7.8</v>
      </c>
      <c r="D61" s="19">
        <v>8.9</v>
      </c>
      <c r="E61" s="19">
        <v>9.4</v>
      </c>
      <c r="F61" s="19">
        <v>9.4</v>
      </c>
      <c r="G61" s="19">
        <v>9.1999999999999993</v>
      </c>
      <c r="H61" s="19">
        <v>8.5</v>
      </c>
      <c r="I61" s="19">
        <v>7.8</v>
      </c>
      <c r="J61" s="19">
        <v>6.9</v>
      </c>
      <c r="K61" s="19">
        <v>7.4</v>
      </c>
      <c r="L61" s="19">
        <v>7.6</v>
      </c>
      <c r="M61" s="19">
        <v>7.4</v>
      </c>
      <c r="N61" s="14">
        <v>8.1</v>
      </c>
      <c r="P61" s="13"/>
      <c r="Q61" s="13"/>
    </row>
    <row r="62" spans="1:22" x14ac:dyDescent="0.2">
      <c r="A62" s="12" t="s">
        <v>380</v>
      </c>
      <c r="B62" s="13">
        <v>8.3000000000000007</v>
      </c>
      <c r="C62" s="13">
        <v>8.3000000000000007</v>
      </c>
      <c r="D62" s="13">
        <v>8.9</v>
      </c>
      <c r="E62" s="13">
        <v>8.6999999999999993</v>
      </c>
      <c r="F62" s="13">
        <v>7.6</v>
      </c>
      <c r="G62" s="13">
        <v>6.5</v>
      </c>
      <c r="H62" s="13">
        <v>6</v>
      </c>
      <c r="I62" s="13">
        <v>5.4</v>
      </c>
      <c r="J62" s="13">
        <v>6.3</v>
      </c>
      <c r="K62" s="13">
        <v>6.3</v>
      </c>
      <c r="L62" s="13">
        <v>7.2</v>
      </c>
      <c r="M62" s="13">
        <v>7.8</v>
      </c>
      <c r="N62" s="14">
        <v>7.2</v>
      </c>
      <c r="P62" s="13"/>
      <c r="Q62" s="13"/>
    </row>
    <row r="63" spans="1:22" x14ac:dyDescent="0.2">
      <c r="A63" s="12" t="s">
        <v>62</v>
      </c>
      <c r="B63" s="19">
        <v>9.8000000000000007</v>
      </c>
      <c r="C63" s="19">
        <v>10.1</v>
      </c>
      <c r="D63" s="19">
        <v>10.5</v>
      </c>
      <c r="E63" s="19">
        <v>11</v>
      </c>
      <c r="F63" s="19">
        <v>10.3</v>
      </c>
      <c r="G63" s="19">
        <v>9.1999999999999993</v>
      </c>
      <c r="H63" s="19">
        <v>8.3000000000000007</v>
      </c>
      <c r="I63" s="19">
        <v>7.4</v>
      </c>
      <c r="J63" s="19">
        <v>7.4</v>
      </c>
      <c r="K63" s="19">
        <v>8.3000000000000007</v>
      </c>
      <c r="L63" s="19">
        <v>8.6999999999999993</v>
      </c>
      <c r="M63" s="19">
        <v>9.1999999999999993</v>
      </c>
      <c r="N63" s="14">
        <v>9.1999999999999993</v>
      </c>
      <c r="P63" s="13"/>
      <c r="Q63" s="13"/>
    </row>
    <row r="64" spans="1:22" x14ac:dyDescent="0.2">
      <c r="A64" s="12" t="s">
        <v>63</v>
      </c>
      <c r="B64" s="19">
        <v>9.8000000000000007</v>
      </c>
      <c r="C64" s="19">
        <v>10.1</v>
      </c>
      <c r="D64" s="19">
        <v>11</v>
      </c>
      <c r="E64" s="19">
        <v>11.2</v>
      </c>
      <c r="F64" s="19">
        <v>10.1</v>
      </c>
      <c r="G64" s="19">
        <v>9.6</v>
      </c>
      <c r="H64" s="19">
        <v>9.6</v>
      </c>
      <c r="I64" s="19">
        <v>8.5</v>
      </c>
      <c r="J64" s="19">
        <v>7.8</v>
      </c>
      <c r="K64" s="19">
        <v>8.6999999999999993</v>
      </c>
      <c r="L64" s="19">
        <v>9.4</v>
      </c>
      <c r="M64" s="19">
        <v>9.4</v>
      </c>
      <c r="N64" s="14">
        <v>9.6</v>
      </c>
      <c r="P64" s="13"/>
      <c r="Q64" s="13"/>
    </row>
    <row r="65" spans="1:21" ht="13.5" thickBot="1" x14ac:dyDescent="0.25">
      <c r="A65" s="34" t="s">
        <v>64</v>
      </c>
      <c r="B65" s="20">
        <v>10.9</v>
      </c>
      <c r="C65" s="20">
        <v>11.5</v>
      </c>
      <c r="D65" s="20">
        <v>12.5</v>
      </c>
      <c r="E65" s="20">
        <v>12.8</v>
      </c>
      <c r="F65" s="20">
        <v>12.2</v>
      </c>
      <c r="G65" s="20">
        <v>11.7</v>
      </c>
      <c r="H65" s="20">
        <v>10.7</v>
      </c>
      <c r="I65" s="20">
        <v>9.6999999999999993</v>
      </c>
      <c r="J65" s="20">
        <v>9.6999999999999993</v>
      </c>
      <c r="K65" s="20">
        <v>10.7</v>
      </c>
      <c r="L65" s="20">
        <v>11.1</v>
      </c>
      <c r="M65" s="20">
        <v>10.6</v>
      </c>
      <c r="N65" s="17">
        <v>11.2</v>
      </c>
      <c r="P65" s="16"/>
      <c r="Q65" s="16"/>
    </row>
    <row r="66" spans="1:21" ht="13.5" thickBot="1" x14ac:dyDescent="0.25"/>
    <row r="67" spans="1:21" x14ac:dyDescent="0.2">
      <c r="A67" s="9" t="s">
        <v>103</v>
      </c>
      <c r="B67" s="10" t="s">
        <v>78</v>
      </c>
      <c r="C67" s="10" t="s">
        <v>79</v>
      </c>
      <c r="D67" s="10" t="s">
        <v>80</v>
      </c>
      <c r="E67" s="10" t="s">
        <v>81</v>
      </c>
      <c r="F67" s="10" t="s">
        <v>82</v>
      </c>
      <c r="G67" s="10" t="s">
        <v>83</v>
      </c>
      <c r="H67" s="10" t="s">
        <v>84</v>
      </c>
      <c r="I67" s="10" t="s">
        <v>85</v>
      </c>
      <c r="J67" s="10" t="s">
        <v>86</v>
      </c>
      <c r="K67" s="10" t="s">
        <v>87</v>
      </c>
      <c r="L67" s="10" t="s">
        <v>88</v>
      </c>
      <c r="M67" s="10" t="s">
        <v>89</v>
      </c>
      <c r="N67" s="11" t="s">
        <v>106</v>
      </c>
      <c r="P67" s="10" t="s">
        <v>104</v>
      </c>
      <c r="Q67" s="10" t="s">
        <v>105</v>
      </c>
    </row>
    <row r="68" spans="1:21" x14ac:dyDescent="0.2">
      <c r="A68" s="12" t="s">
        <v>48</v>
      </c>
      <c r="B68" s="13">
        <v>959</v>
      </c>
      <c r="C68" s="13">
        <v>1205</v>
      </c>
      <c r="D68" s="13">
        <v>1557</v>
      </c>
      <c r="E68" s="13">
        <v>1936</v>
      </c>
      <c r="F68" s="13">
        <v>2052</v>
      </c>
      <c r="G68" s="13">
        <v>2245</v>
      </c>
      <c r="H68" s="13">
        <v>2252</v>
      </c>
      <c r="I68" s="13">
        <v>2006</v>
      </c>
      <c r="J68" s="13">
        <v>1701</v>
      </c>
      <c r="K68" s="13">
        <v>1375</v>
      </c>
      <c r="L68" s="13">
        <v>1046</v>
      </c>
      <c r="M68" s="13">
        <v>902</v>
      </c>
      <c r="N68" s="14">
        <v>1603</v>
      </c>
      <c r="P68" s="13" t="s">
        <v>110</v>
      </c>
      <c r="Q68" s="13" t="s">
        <v>114</v>
      </c>
    </row>
    <row r="69" spans="1:21" x14ac:dyDescent="0.2">
      <c r="A69" s="12" t="s">
        <v>49</v>
      </c>
      <c r="B69" s="19">
        <v>882</v>
      </c>
      <c r="C69" s="19">
        <v>1232</v>
      </c>
      <c r="D69" s="19">
        <v>1607</v>
      </c>
      <c r="E69" s="19">
        <v>1972</v>
      </c>
      <c r="F69" s="19">
        <v>2156</v>
      </c>
      <c r="G69" s="19">
        <v>2357</v>
      </c>
      <c r="H69" s="19">
        <v>2313</v>
      </c>
      <c r="I69" s="19">
        <v>2021</v>
      </c>
      <c r="J69" s="19">
        <v>1748</v>
      </c>
      <c r="K69" s="19">
        <v>1388</v>
      </c>
      <c r="L69" s="19">
        <v>1057</v>
      </c>
      <c r="M69" s="19">
        <v>877</v>
      </c>
      <c r="N69" s="15">
        <v>1634</v>
      </c>
      <c r="P69" s="13"/>
      <c r="Q69" s="13"/>
    </row>
    <row r="70" spans="1:21" x14ac:dyDescent="0.2">
      <c r="A70" s="12" t="s">
        <v>50</v>
      </c>
      <c r="B70" s="19">
        <v>868</v>
      </c>
      <c r="C70" s="19">
        <v>1085</v>
      </c>
      <c r="D70" s="19">
        <v>1368</v>
      </c>
      <c r="E70" s="19">
        <v>1699</v>
      </c>
      <c r="F70" s="19">
        <v>1812</v>
      </c>
      <c r="G70" s="19">
        <v>2094</v>
      </c>
      <c r="H70" s="19">
        <v>2135</v>
      </c>
      <c r="I70" s="19">
        <v>2023</v>
      </c>
      <c r="J70" s="19">
        <v>1645</v>
      </c>
      <c r="K70" s="19">
        <v>1313</v>
      </c>
      <c r="L70" s="19">
        <v>956</v>
      </c>
      <c r="M70" s="19">
        <v>806</v>
      </c>
      <c r="N70" s="14">
        <v>1484</v>
      </c>
      <c r="P70" s="13"/>
      <c r="Q70" s="13"/>
    </row>
    <row r="71" spans="1:21" x14ac:dyDescent="0.2">
      <c r="A71" s="12" t="s">
        <v>51</v>
      </c>
      <c r="B71" s="19">
        <v>899</v>
      </c>
      <c r="C71" s="19">
        <v>1152</v>
      </c>
      <c r="D71" s="19">
        <v>1425</v>
      </c>
      <c r="E71" s="19">
        <v>1673</v>
      </c>
      <c r="F71" s="19">
        <v>1913</v>
      </c>
      <c r="G71" s="19">
        <v>2051</v>
      </c>
      <c r="H71" s="19">
        <v>2061</v>
      </c>
      <c r="I71" s="19">
        <v>1951</v>
      </c>
      <c r="J71" s="19">
        <v>1616</v>
      </c>
      <c r="K71" s="19">
        <v>1386</v>
      </c>
      <c r="L71" s="19">
        <v>1040</v>
      </c>
      <c r="M71" s="19">
        <v>846</v>
      </c>
      <c r="N71" s="14">
        <v>1501</v>
      </c>
      <c r="P71" s="13"/>
      <c r="Q71" s="13"/>
    </row>
    <row r="72" spans="1:21" x14ac:dyDescent="0.2">
      <c r="A72" s="12" t="s">
        <v>52</v>
      </c>
      <c r="B72" s="19">
        <v>891</v>
      </c>
      <c r="C72" s="19">
        <v>1113</v>
      </c>
      <c r="D72" s="19">
        <v>1385</v>
      </c>
      <c r="E72" s="19">
        <v>1636</v>
      </c>
      <c r="F72" s="19">
        <v>1850</v>
      </c>
      <c r="G72" s="19">
        <v>2072</v>
      </c>
      <c r="H72" s="19">
        <v>2110</v>
      </c>
      <c r="I72" s="19">
        <v>1975</v>
      </c>
      <c r="J72" s="19">
        <v>1662</v>
      </c>
      <c r="K72" s="19">
        <v>1397</v>
      </c>
      <c r="L72" s="19">
        <v>1040</v>
      </c>
      <c r="M72" s="19">
        <v>838</v>
      </c>
      <c r="N72" s="14">
        <v>1497</v>
      </c>
      <c r="P72" s="13"/>
      <c r="Q72" s="13"/>
    </row>
    <row r="73" spans="1:21" x14ac:dyDescent="0.2">
      <c r="A73" s="35" t="s">
        <v>187</v>
      </c>
      <c r="B73" s="19">
        <v>837</v>
      </c>
      <c r="C73" s="19">
        <v>1089</v>
      </c>
      <c r="D73" s="19">
        <v>1388</v>
      </c>
      <c r="E73" s="19">
        <v>1744</v>
      </c>
      <c r="F73" s="19">
        <v>1860</v>
      </c>
      <c r="G73" s="19">
        <v>2087</v>
      </c>
      <c r="H73" s="19">
        <v>2171</v>
      </c>
      <c r="I73" s="19">
        <v>1981</v>
      </c>
      <c r="J73" s="19">
        <v>1623</v>
      </c>
      <c r="K73" s="19">
        <v>1263</v>
      </c>
      <c r="L73" s="19">
        <v>933</v>
      </c>
      <c r="M73" s="19">
        <v>795</v>
      </c>
      <c r="N73" s="14">
        <v>1481</v>
      </c>
      <c r="P73" s="383" t="s">
        <v>147</v>
      </c>
      <c r="Q73" s="383"/>
      <c r="R73" s="383"/>
      <c r="S73" s="383"/>
    </row>
    <row r="74" spans="1:21" x14ac:dyDescent="0.2">
      <c r="A74" s="36" t="s">
        <v>53</v>
      </c>
      <c r="B74" s="50">
        <v>1058.0417535842278</v>
      </c>
      <c r="C74" s="50">
        <v>1315.7849884362345</v>
      </c>
      <c r="D74" s="50">
        <v>1618.6398408098103</v>
      </c>
      <c r="E74" s="50">
        <v>1905.6436379918928</v>
      </c>
      <c r="F74" s="50">
        <v>2055.9077341229431</v>
      </c>
      <c r="G74" s="50">
        <v>2187.3471280671292</v>
      </c>
      <c r="H74" s="50">
        <v>2207.3072874104087</v>
      </c>
      <c r="I74" s="50">
        <v>2046.1800806731517</v>
      </c>
      <c r="J74" s="50">
        <v>1757.6498306713106</v>
      </c>
      <c r="K74" s="50">
        <v>1383.9411344646041</v>
      </c>
      <c r="L74" s="50">
        <v>1107.9311435184945</v>
      </c>
      <c r="M74" s="50">
        <v>983.30967820343494</v>
      </c>
      <c r="N74" s="14">
        <v>1637</v>
      </c>
      <c r="P74" s="13"/>
      <c r="Q74" s="13"/>
    </row>
    <row r="75" spans="1:21" x14ac:dyDescent="0.2">
      <c r="A75" s="12" t="s">
        <v>54</v>
      </c>
      <c r="B75" s="19">
        <v>1125</v>
      </c>
      <c r="C75" s="19">
        <v>1406</v>
      </c>
      <c r="D75" s="19">
        <v>1856</v>
      </c>
      <c r="E75" s="19">
        <v>2259</v>
      </c>
      <c r="F75" s="19">
        <v>2494</v>
      </c>
      <c r="G75" s="19">
        <v>2537</v>
      </c>
      <c r="H75" s="19">
        <v>2276</v>
      </c>
      <c r="I75" s="19">
        <v>2106</v>
      </c>
      <c r="J75" s="19">
        <v>1895</v>
      </c>
      <c r="K75" s="19">
        <v>1574</v>
      </c>
      <c r="L75" s="19">
        <v>1244</v>
      </c>
      <c r="M75" s="19">
        <v>1048</v>
      </c>
      <c r="N75" s="14">
        <v>1818</v>
      </c>
      <c r="P75" s="382" t="s">
        <v>191</v>
      </c>
      <c r="Q75" s="382"/>
      <c r="R75" s="382"/>
      <c r="S75" s="382"/>
      <c r="T75" s="382"/>
      <c r="U75" s="382"/>
    </row>
    <row r="76" spans="1:21" x14ac:dyDescent="0.2">
      <c r="A76" s="33" t="s">
        <v>55</v>
      </c>
      <c r="B76" s="50">
        <v>907.01730098572443</v>
      </c>
      <c r="C76" s="50">
        <v>1088.0609880952293</v>
      </c>
      <c r="D76" s="50">
        <v>1441.7631239246589</v>
      </c>
      <c r="E76" s="50">
        <v>1768.3636308333153</v>
      </c>
      <c r="F76" s="50">
        <v>2010.1736367383824</v>
      </c>
      <c r="G76" s="50">
        <v>2070.769948796371</v>
      </c>
      <c r="H76" s="50">
        <v>1993.5327842294103</v>
      </c>
      <c r="I76" s="50">
        <v>1880.2440570787087</v>
      </c>
      <c r="J76" s="50">
        <v>1610.3749107408053</v>
      </c>
      <c r="K76" s="50">
        <v>1370.7187086917095</v>
      </c>
      <c r="L76" s="50">
        <v>1052.3284923147796</v>
      </c>
      <c r="M76" s="50">
        <v>839.89513584223369</v>
      </c>
      <c r="N76" s="14">
        <v>1505</v>
      </c>
      <c r="P76" s="13"/>
      <c r="Q76" s="13"/>
    </row>
    <row r="77" spans="1:21" x14ac:dyDescent="0.2">
      <c r="A77" s="12" t="s">
        <v>56</v>
      </c>
      <c r="B77" s="19">
        <v>832</v>
      </c>
      <c r="C77" s="19">
        <v>1022</v>
      </c>
      <c r="D77" s="19">
        <v>1333</v>
      </c>
      <c r="E77" s="19">
        <v>1635</v>
      </c>
      <c r="F77" s="19">
        <v>1828</v>
      </c>
      <c r="G77" s="19">
        <v>1915</v>
      </c>
      <c r="H77" s="19">
        <v>1930</v>
      </c>
      <c r="I77" s="19">
        <v>1804</v>
      </c>
      <c r="J77" s="19">
        <v>1567</v>
      </c>
      <c r="K77" s="19">
        <v>1288</v>
      </c>
      <c r="L77" s="19">
        <v>930</v>
      </c>
      <c r="M77" s="19">
        <v>767</v>
      </c>
      <c r="N77" s="14">
        <v>1404</v>
      </c>
      <c r="P77" s="13"/>
      <c r="Q77" s="13"/>
    </row>
    <row r="78" spans="1:21" x14ac:dyDescent="0.2">
      <c r="A78" s="12" t="s">
        <v>57</v>
      </c>
      <c r="B78" s="19">
        <v>968</v>
      </c>
      <c r="C78" s="19">
        <v>1252</v>
      </c>
      <c r="D78" s="19">
        <v>1627</v>
      </c>
      <c r="E78" s="19">
        <v>2008</v>
      </c>
      <c r="F78" s="19">
        <v>2166</v>
      </c>
      <c r="G78" s="19">
        <v>2352</v>
      </c>
      <c r="H78" s="19">
        <v>2283</v>
      </c>
      <c r="I78" s="19">
        <v>2060</v>
      </c>
      <c r="J78" s="19">
        <v>1728</v>
      </c>
      <c r="K78" s="19">
        <v>1406</v>
      </c>
      <c r="L78" s="19">
        <v>1081</v>
      </c>
      <c r="M78" s="19">
        <v>904</v>
      </c>
      <c r="N78" s="14">
        <v>1653</v>
      </c>
      <c r="P78" s="13"/>
      <c r="Q78" s="13"/>
    </row>
    <row r="79" spans="1:21" x14ac:dyDescent="0.2">
      <c r="A79" s="12" t="s">
        <v>116</v>
      </c>
      <c r="B79" s="19">
        <v>796</v>
      </c>
      <c r="C79" s="19">
        <v>1027</v>
      </c>
      <c r="D79" s="19">
        <v>1342</v>
      </c>
      <c r="E79" s="19">
        <v>1686</v>
      </c>
      <c r="F79" s="19">
        <v>1856</v>
      </c>
      <c r="G79" s="19">
        <v>1988</v>
      </c>
      <c r="H79" s="19">
        <v>2043</v>
      </c>
      <c r="I79" s="19">
        <v>1915</v>
      </c>
      <c r="J79" s="19">
        <v>1590</v>
      </c>
      <c r="K79" s="19">
        <v>1275</v>
      </c>
      <c r="L79" s="19">
        <v>913</v>
      </c>
      <c r="M79" s="19">
        <v>747</v>
      </c>
      <c r="N79" s="14">
        <v>1432</v>
      </c>
      <c r="P79" s="13"/>
      <c r="Q79" s="13"/>
    </row>
    <row r="80" spans="1:21" x14ac:dyDescent="0.2">
      <c r="A80" s="12" t="s">
        <v>58</v>
      </c>
      <c r="B80" s="19">
        <v>1015</v>
      </c>
      <c r="C80" s="19">
        <v>1294</v>
      </c>
      <c r="D80" s="19">
        <v>1695</v>
      </c>
      <c r="E80" s="19">
        <v>2089</v>
      </c>
      <c r="F80" s="19">
        <v>2226</v>
      </c>
      <c r="G80" s="19">
        <v>2365</v>
      </c>
      <c r="H80" s="19">
        <v>2272</v>
      </c>
      <c r="I80" s="19">
        <v>2073</v>
      </c>
      <c r="J80" s="19">
        <v>1776</v>
      </c>
      <c r="K80" s="19">
        <v>1458</v>
      </c>
      <c r="L80" s="19">
        <v>1140</v>
      </c>
      <c r="M80" s="19">
        <v>973</v>
      </c>
      <c r="N80" s="15">
        <v>1698</v>
      </c>
      <c r="P80" s="13"/>
      <c r="Q80" s="13"/>
    </row>
    <row r="81" spans="1:17" x14ac:dyDescent="0.2">
      <c r="A81" s="12" t="s">
        <v>59</v>
      </c>
      <c r="B81" s="19">
        <v>824</v>
      </c>
      <c r="C81" s="19">
        <v>1017</v>
      </c>
      <c r="D81" s="19">
        <v>1355</v>
      </c>
      <c r="E81" s="19">
        <v>1646</v>
      </c>
      <c r="F81" s="19">
        <v>1868</v>
      </c>
      <c r="G81" s="19">
        <v>1931</v>
      </c>
      <c r="H81" s="19">
        <v>1918</v>
      </c>
      <c r="I81" s="19">
        <v>1801</v>
      </c>
      <c r="J81" s="19">
        <v>1552</v>
      </c>
      <c r="K81" s="19">
        <v>1300</v>
      </c>
      <c r="L81" s="19">
        <v>955</v>
      </c>
      <c r="M81" s="19">
        <v>773</v>
      </c>
      <c r="N81" s="14">
        <v>1412</v>
      </c>
      <c r="P81" s="13"/>
      <c r="Q81" s="13"/>
    </row>
    <row r="82" spans="1:17" x14ac:dyDescent="0.2">
      <c r="A82" s="12" t="s">
        <v>60</v>
      </c>
      <c r="B82" s="19">
        <v>968</v>
      </c>
      <c r="C82" s="19">
        <v>1229</v>
      </c>
      <c r="D82" s="19">
        <v>1591</v>
      </c>
      <c r="E82" s="19">
        <v>1961</v>
      </c>
      <c r="F82" s="19">
        <v>2072</v>
      </c>
      <c r="G82" s="19">
        <v>2236</v>
      </c>
      <c r="H82" s="19">
        <v>2220</v>
      </c>
      <c r="I82" s="19">
        <v>2021</v>
      </c>
      <c r="J82" s="19">
        <v>1711</v>
      </c>
      <c r="K82" s="19">
        <v>1382</v>
      </c>
      <c r="L82" s="19">
        <v>1090</v>
      </c>
      <c r="M82" s="19">
        <v>921</v>
      </c>
      <c r="N82" s="14">
        <v>1617</v>
      </c>
      <c r="P82" s="13"/>
      <c r="Q82" s="13"/>
    </row>
    <row r="83" spans="1:17" x14ac:dyDescent="0.2">
      <c r="A83" s="12" t="s">
        <v>61</v>
      </c>
      <c r="B83" s="19">
        <v>893</v>
      </c>
      <c r="C83" s="19">
        <v>1083</v>
      </c>
      <c r="D83" s="19">
        <v>1377</v>
      </c>
      <c r="E83" s="19">
        <v>1682</v>
      </c>
      <c r="F83" s="19">
        <v>1821</v>
      </c>
      <c r="G83" s="19">
        <v>2059</v>
      </c>
      <c r="H83" s="19">
        <v>2081</v>
      </c>
      <c r="I83" s="19">
        <v>1961</v>
      </c>
      <c r="J83" s="19">
        <v>1640</v>
      </c>
      <c r="K83" s="19">
        <v>1323</v>
      </c>
      <c r="L83" s="19">
        <v>985</v>
      </c>
      <c r="M83" s="19">
        <v>825</v>
      </c>
      <c r="N83" s="14">
        <v>1477</v>
      </c>
      <c r="P83" s="13"/>
      <c r="Q83" s="13"/>
    </row>
    <row r="84" spans="1:17" x14ac:dyDescent="0.2">
      <c r="A84" s="12" t="s">
        <v>380</v>
      </c>
      <c r="B84" s="13">
        <v>783</v>
      </c>
      <c r="C84" s="13">
        <v>1001</v>
      </c>
      <c r="D84" s="13">
        <v>1342</v>
      </c>
      <c r="E84" s="13">
        <v>1709</v>
      </c>
      <c r="F84" s="13">
        <v>1837</v>
      </c>
      <c r="G84" s="13">
        <v>2007</v>
      </c>
      <c r="H84" s="13">
        <v>2049</v>
      </c>
      <c r="I84" s="13">
        <v>1915</v>
      </c>
      <c r="J84" s="13">
        <v>1575</v>
      </c>
      <c r="K84" s="13">
        <v>1251</v>
      </c>
      <c r="L84" s="13">
        <v>884</v>
      </c>
      <c r="M84" s="13">
        <v>732</v>
      </c>
      <c r="N84" s="14">
        <v>1424</v>
      </c>
      <c r="P84" s="13"/>
      <c r="Q84" s="13"/>
    </row>
    <row r="85" spans="1:17" x14ac:dyDescent="0.2">
      <c r="A85" s="12" t="s">
        <v>62</v>
      </c>
      <c r="B85" s="19">
        <v>849</v>
      </c>
      <c r="C85" s="19">
        <v>1038</v>
      </c>
      <c r="D85" s="19">
        <v>1328</v>
      </c>
      <c r="E85" s="19">
        <v>1597</v>
      </c>
      <c r="F85" s="19">
        <v>1823</v>
      </c>
      <c r="G85" s="19">
        <v>2009</v>
      </c>
      <c r="H85" s="19">
        <v>2029</v>
      </c>
      <c r="I85" s="19">
        <v>1887</v>
      </c>
      <c r="J85" s="19">
        <v>1596</v>
      </c>
      <c r="K85" s="19">
        <v>1328</v>
      </c>
      <c r="L85" s="19">
        <v>989</v>
      </c>
      <c r="M85" s="19">
        <v>801</v>
      </c>
      <c r="N85" s="14">
        <v>1439</v>
      </c>
      <c r="P85" s="13"/>
      <c r="Q85" s="13"/>
    </row>
    <row r="86" spans="1:17" x14ac:dyDescent="0.2">
      <c r="A86" s="12" t="s">
        <v>63</v>
      </c>
      <c r="B86" s="19">
        <v>864</v>
      </c>
      <c r="C86" s="19">
        <v>1081</v>
      </c>
      <c r="D86" s="19">
        <v>1387</v>
      </c>
      <c r="E86" s="19">
        <v>1732</v>
      </c>
      <c r="F86" s="19">
        <v>1890</v>
      </c>
      <c r="G86" s="19">
        <v>2135</v>
      </c>
      <c r="H86" s="19">
        <v>2198</v>
      </c>
      <c r="I86" s="19">
        <v>2022</v>
      </c>
      <c r="J86" s="19">
        <v>1674</v>
      </c>
      <c r="K86" s="19">
        <v>1302</v>
      </c>
      <c r="L86" s="19">
        <v>958</v>
      </c>
      <c r="M86" s="19">
        <v>823</v>
      </c>
      <c r="N86" s="14">
        <v>1505</v>
      </c>
      <c r="P86" s="13"/>
      <c r="Q86" s="13"/>
    </row>
    <row r="87" spans="1:17" ht="13.5" thickBot="1" x14ac:dyDescent="0.25">
      <c r="A87" s="34" t="s">
        <v>64</v>
      </c>
      <c r="B87" s="51">
        <v>930.27594746868306</v>
      </c>
      <c r="C87" s="51">
        <v>1160.7312725693994</v>
      </c>
      <c r="D87" s="51">
        <v>1481.3151869399767</v>
      </c>
      <c r="E87" s="51">
        <v>1881.7363253471649</v>
      </c>
      <c r="F87" s="51">
        <v>2023.1875945340985</v>
      </c>
      <c r="G87" s="51">
        <v>2174.1906557869761</v>
      </c>
      <c r="H87" s="51">
        <v>2247.2684607975061</v>
      </c>
      <c r="I87" s="51">
        <v>2025.050076052911</v>
      </c>
      <c r="J87" s="51">
        <v>1687.826618171244</v>
      </c>
      <c r="K87" s="51">
        <v>1274.8054162186386</v>
      </c>
      <c r="L87" s="51">
        <v>1004.8168771990538</v>
      </c>
      <c r="M87" s="51">
        <v>854.07920284500574</v>
      </c>
      <c r="N87" s="17">
        <v>1564</v>
      </c>
      <c r="P87" s="16"/>
      <c r="Q87" s="16"/>
    </row>
    <row r="88" spans="1:17" ht="13.5" thickBot="1" x14ac:dyDescent="0.25"/>
    <row r="89" spans="1:17" ht="38.25" x14ac:dyDescent="0.2">
      <c r="A89" s="9" t="s">
        <v>103</v>
      </c>
      <c r="B89" s="27" t="s">
        <v>134</v>
      </c>
      <c r="D89" s="10" t="s">
        <v>104</v>
      </c>
      <c r="E89" s="10" t="s">
        <v>105</v>
      </c>
    </row>
    <row r="90" spans="1:17" x14ac:dyDescent="0.2">
      <c r="A90" s="12" t="s">
        <v>48</v>
      </c>
      <c r="B90" s="14">
        <v>13.79</v>
      </c>
      <c r="D90" s="13" t="s">
        <v>111</v>
      </c>
      <c r="E90" s="13" t="s">
        <v>115</v>
      </c>
    </row>
    <row r="91" spans="1:17" x14ac:dyDescent="0.2">
      <c r="A91" s="12" t="s">
        <v>49</v>
      </c>
      <c r="B91" s="15">
        <v>12.95</v>
      </c>
      <c r="D91" s="13"/>
      <c r="E91" s="13"/>
    </row>
    <row r="92" spans="1:17" x14ac:dyDescent="0.2">
      <c r="A92" s="12" t="s">
        <v>50</v>
      </c>
      <c r="B92" s="14">
        <v>14.33</v>
      </c>
      <c r="D92" s="13"/>
      <c r="E92" s="13"/>
    </row>
    <row r="93" spans="1:17" x14ac:dyDescent="0.2">
      <c r="A93" s="12" t="s">
        <v>51</v>
      </c>
      <c r="B93" s="14">
        <v>14.68</v>
      </c>
      <c r="D93" s="13"/>
      <c r="E93" s="13"/>
    </row>
    <row r="94" spans="1:17" x14ac:dyDescent="0.2">
      <c r="A94" s="12" t="s">
        <v>52</v>
      </c>
      <c r="B94" s="14">
        <v>14.68</v>
      </c>
      <c r="D94" s="13"/>
      <c r="E94" s="13"/>
    </row>
    <row r="95" spans="1:17" x14ac:dyDescent="0.2">
      <c r="A95" s="35" t="s">
        <v>187</v>
      </c>
      <c r="B95" s="14">
        <v>14.4</v>
      </c>
      <c r="D95" s="126" t="s">
        <v>190</v>
      </c>
      <c r="E95" s="126"/>
      <c r="F95" s="126"/>
      <c r="G95" s="126"/>
    </row>
    <row r="96" spans="1:17" x14ac:dyDescent="0.2">
      <c r="A96" s="36" t="s">
        <v>53</v>
      </c>
      <c r="B96" s="14">
        <v>14.7</v>
      </c>
      <c r="E96" s="13"/>
    </row>
    <row r="97" spans="1:16" x14ac:dyDescent="0.2">
      <c r="A97" s="12" t="s">
        <v>54</v>
      </c>
      <c r="B97" s="14">
        <v>12.76</v>
      </c>
      <c r="D97" s="13"/>
      <c r="E97" s="13"/>
    </row>
    <row r="98" spans="1:16" x14ac:dyDescent="0.2">
      <c r="A98" s="33" t="s">
        <v>55</v>
      </c>
      <c r="B98" s="14">
        <v>14.7</v>
      </c>
      <c r="D98" s="13"/>
      <c r="E98" s="13"/>
    </row>
    <row r="99" spans="1:16" x14ac:dyDescent="0.2">
      <c r="A99" s="12" t="s">
        <v>56</v>
      </c>
      <c r="B99" s="14">
        <v>14.65</v>
      </c>
      <c r="D99" s="13"/>
      <c r="E99" s="13"/>
    </row>
    <row r="100" spans="1:16" x14ac:dyDescent="0.2">
      <c r="A100" s="12" t="s">
        <v>57</v>
      </c>
      <c r="B100" s="14">
        <v>13.07</v>
      </c>
      <c r="D100" s="13"/>
      <c r="E100" s="13"/>
    </row>
    <row r="101" spans="1:16" x14ac:dyDescent="0.2">
      <c r="A101" s="12" t="s">
        <v>116</v>
      </c>
      <c r="B101" s="14">
        <v>14.55</v>
      </c>
      <c r="D101" s="13"/>
      <c r="E101" s="13"/>
    </row>
    <row r="102" spans="1:16" x14ac:dyDescent="0.2">
      <c r="A102" s="12" t="s">
        <v>58</v>
      </c>
      <c r="B102" s="15">
        <v>13.26</v>
      </c>
      <c r="D102" s="13"/>
      <c r="E102" s="13"/>
    </row>
    <row r="103" spans="1:16" x14ac:dyDescent="0.2">
      <c r="A103" s="12" t="s">
        <v>59</v>
      </c>
      <c r="B103" s="14">
        <v>14.68</v>
      </c>
      <c r="D103" s="13"/>
      <c r="E103" s="13"/>
    </row>
    <row r="104" spans="1:16" x14ac:dyDescent="0.2">
      <c r="A104" s="12" t="s">
        <v>60</v>
      </c>
      <c r="B104" s="14">
        <v>13.71</v>
      </c>
      <c r="D104" s="13"/>
      <c r="E104" s="13"/>
    </row>
    <row r="105" spans="1:16" x14ac:dyDescent="0.2">
      <c r="A105" s="12" t="s">
        <v>61</v>
      </c>
      <c r="B105" s="14">
        <v>14.27</v>
      </c>
      <c r="D105" s="13"/>
      <c r="E105" s="13"/>
    </row>
    <row r="106" spans="1:16" x14ac:dyDescent="0.2">
      <c r="A106" s="12" t="s">
        <v>380</v>
      </c>
      <c r="B106" s="14">
        <v>14.56</v>
      </c>
      <c r="D106" s="13"/>
      <c r="E106" s="13"/>
    </row>
    <row r="107" spans="1:16" x14ac:dyDescent="0.2">
      <c r="A107" s="12" t="s">
        <v>62</v>
      </c>
      <c r="B107" s="14">
        <v>14.63</v>
      </c>
      <c r="D107" s="13"/>
      <c r="E107" s="13"/>
    </row>
    <row r="108" spans="1:16" x14ac:dyDescent="0.2">
      <c r="A108" s="12" t="s">
        <v>63</v>
      </c>
      <c r="B108" s="14">
        <v>14.43</v>
      </c>
      <c r="D108" s="13"/>
      <c r="E108" s="13"/>
    </row>
    <row r="109" spans="1:16" ht="13.5" thickBot="1" x14ac:dyDescent="0.25">
      <c r="A109" s="34" t="s">
        <v>64</v>
      </c>
      <c r="B109" s="17">
        <v>14.7</v>
      </c>
      <c r="D109" s="16"/>
      <c r="E109" s="16"/>
    </row>
    <row r="110" spans="1:16" x14ac:dyDescent="0.2"/>
    <row r="111" spans="1:16" x14ac:dyDescent="0.2"/>
    <row r="112" spans="1:16" ht="13.5" thickBot="1" x14ac:dyDescent="0.25">
      <c r="A112" s="37" t="s">
        <v>103</v>
      </c>
      <c r="B112" s="37" t="s">
        <v>104</v>
      </c>
      <c r="C112" s="37" t="s">
        <v>105</v>
      </c>
      <c r="D112" s="37" t="s">
        <v>78</v>
      </c>
      <c r="E112" s="37" t="s">
        <v>79</v>
      </c>
      <c r="F112" s="37" t="s">
        <v>80</v>
      </c>
      <c r="G112" s="37" t="s">
        <v>81</v>
      </c>
      <c r="H112" s="37" t="s">
        <v>82</v>
      </c>
      <c r="I112" s="37" t="s">
        <v>83</v>
      </c>
      <c r="J112" s="37" t="s">
        <v>84</v>
      </c>
      <c r="K112" s="37" t="s">
        <v>85</v>
      </c>
      <c r="L112" s="37" t="s">
        <v>86</v>
      </c>
      <c r="M112" s="37" t="s">
        <v>87</v>
      </c>
      <c r="N112" s="37" t="s">
        <v>88</v>
      </c>
      <c r="O112" s="37" t="s">
        <v>89</v>
      </c>
      <c r="P112" s="37" t="s">
        <v>106</v>
      </c>
    </row>
    <row r="113" spans="1:16" x14ac:dyDescent="0.2">
      <c r="A113" s="38" t="s">
        <v>48</v>
      </c>
      <c r="B113" s="39" t="s">
        <v>107</v>
      </c>
      <c r="C113" s="39" t="s">
        <v>112</v>
      </c>
      <c r="D113" s="39">
        <v>34.200000000000003</v>
      </c>
      <c r="E113" s="39">
        <v>37.799999999999997</v>
      </c>
      <c r="F113" s="39">
        <v>44.9</v>
      </c>
      <c r="G113" s="39">
        <v>52.6</v>
      </c>
      <c r="H113" s="39">
        <v>61.2</v>
      </c>
      <c r="I113" s="39">
        <v>69.099999999999994</v>
      </c>
      <c r="J113" s="39">
        <v>72.599999999999994</v>
      </c>
      <c r="K113" s="39">
        <v>72</v>
      </c>
      <c r="L113" s="39">
        <v>64.400000000000006</v>
      </c>
      <c r="M113" s="39">
        <v>54.6</v>
      </c>
      <c r="N113" s="39">
        <v>43.4</v>
      </c>
      <c r="O113" s="39">
        <v>35.200000000000003</v>
      </c>
      <c r="P113" s="40">
        <v>53.6</v>
      </c>
    </row>
    <row r="114" spans="1:16" x14ac:dyDescent="0.2">
      <c r="A114" s="13" t="s">
        <v>48</v>
      </c>
      <c r="B114" s="13" t="s">
        <v>108</v>
      </c>
      <c r="C114" s="13" t="s">
        <v>112</v>
      </c>
      <c r="D114" s="13">
        <v>56.5</v>
      </c>
      <c r="E114" s="13">
        <v>60.6</v>
      </c>
      <c r="F114" s="13">
        <v>68</v>
      </c>
      <c r="G114" s="13">
        <v>76.599999999999994</v>
      </c>
      <c r="H114" s="13">
        <v>83.9</v>
      </c>
      <c r="I114" s="13">
        <v>89.9</v>
      </c>
      <c r="J114" s="13">
        <v>93.6</v>
      </c>
      <c r="K114" s="13">
        <v>92.8</v>
      </c>
      <c r="L114" s="13">
        <v>85.9</v>
      </c>
      <c r="M114" s="13">
        <v>76.8</v>
      </c>
      <c r="N114" s="13">
        <v>65.400000000000006</v>
      </c>
      <c r="O114" s="13">
        <v>57.4</v>
      </c>
      <c r="P114" s="14">
        <v>75.599999999999994</v>
      </c>
    </row>
    <row r="115" spans="1:16" ht="13.5" thickBot="1" x14ac:dyDescent="0.25">
      <c r="A115" s="13" t="s">
        <v>48</v>
      </c>
      <c r="B115" s="13" t="s">
        <v>109</v>
      </c>
      <c r="C115" s="13" t="s">
        <v>113</v>
      </c>
      <c r="D115" s="13">
        <v>11</v>
      </c>
      <c r="E115" s="13">
        <v>11.4</v>
      </c>
      <c r="F115" s="13">
        <v>12.5</v>
      </c>
      <c r="G115" s="13">
        <v>13.2</v>
      </c>
      <c r="H115" s="13">
        <v>11.9</v>
      </c>
      <c r="I115" s="13">
        <v>11.2</v>
      </c>
      <c r="J115" s="13">
        <v>10.1</v>
      </c>
      <c r="K115" s="13">
        <v>8.6999999999999993</v>
      </c>
      <c r="L115" s="13">
        <v>8.9</v>
      </c>
      <c r="M115" s="13">
        <v>10.3</v>
      </c>
      <c r="N115" s="13">
        <v>10.7</v>
      </c>
      <c r="O115" s="13">
        <v>10.7</v>
      </c>
      <c r="P115" s="14">
        <v>11</v>
      </c>
    </row>
    <row r="116" spans="1:16" ht="13.5" thickBot="1" x14ac:dyDescent="0.25">
      <c r="A116" s="13" t="s">
        <v>48</v>
      </c>
      <c r="B116" s="13" t="s">
        <v>110</v>
      </c>
      <c r="C116" s="13" t="s">
        <v>114</v>
      </c>
      <c r="D116" s="13">
        <v>959</v>
      </c>
      <c r="E116" s="13">
        <v>1205</v>
      </c>
      <c r="F116" s="13">
        <v>1557</v>
      </c>
      <c r="G116" s="13">
        <v>1936</v>
      </c>
      <c r="H116" s="13">
        <v>2052</v>
      </c>
      <c r="I116" s="13">
        <v>2245</v>
      </c>
      <c r="J116" s="13">
        <v>2252</v>
      </c>
      <c r="K116" s="13">
        <v>2006</v>
      </c>
      <c r="L116" s="13">
        <v>1701</v>
      </c>
      <c r="M116" s="13">
        <v>1375</v>
      </c>
      <c r="N116" s="13">
        <v>1046</v>
      </c>
      <c r="O116" s="13">
        <v>902</v>
      </c>
      <c r="P116" s="14">
        <v>1603</v>
      </c>
    </row>
    <row r="117" spans="1:16" ht="13.5" thickBot="1" x14ac:dyDescent="0.25">
      <c r="A117" s="12" t="s">
        <v>48</v>
      </c>
      <c r="B117" s="16" t="s">
        <v>111</v>
      </c>
      <c r="C117" s="16" t="s">
        <v>115</v>
      </c>
      <c r="D117" s="16"/>
      <c r="E117" s="16"/>
      <c r="F117" s="16"/>
      <c r="G117" s="16"/>
      <c r="H117" s="16"/>
      <c r="I117" s="16"/>
      <c r="J117" s="16"/>
      <c r="K117" s="16"/>
      <c r="L117" s="16"/>
      <c r="M117" s="16"/>
      <c r="N117" s="16"/>
      <c r="O117" s="16"/>
      <c r="P117" s="17">
        <v>13.79</v>
      </c>
    </row>
    <row r="118" spans="1:16" x14ac:dyDescent="0.2">
      <c r="A118" s="38" t="s">
        <v>49</v>
      </c>
      <c r="B118" s="39" t="s">
        <v>107</v>
      </c>
      <c r="C118" s="39" t="s">
        <v>112</v>
      </c>
      <c r="D118" s="41">
        <v>24.9</v>
      </c>
      <c r="E118" s="41">
        <v>28</v>
      </c>
      <c r="F118" s="41">
        <v>34.1</v>
      </c>
      <c r="G118" s="41">
        <v>42.4</v>
      </c>
      <c r="H118" s="41">
        <v>52.8</v>
      </c>
      <c r="I118" s="41">
        <v>61.7</v>
      </c>
      <c r="J118" s="41">
        <v>65.8</v>
      </c>
      <c r="K118" s="41">
        <v>64.8</v>
      </c>
      <c r="L118" s="41">
        <v>56.9</v>
      </c>
      <c r="M118" s="41">
        <v>45.3</v>
      </c>
      <c r="N118" s="41">
        <v>33.200000000000003</v>
      </c>
      <c r="O118" s="41">
        <v>25.8</v>
      </c>
      <c r="P118" s="42">
        <v>44.7</v>
      </c>
    </row>
    <row r="119" spans="1:16" x14ac:dyDescent="0.2">
      <c r="A119" s="13" t="s">
        <v>49</v>
      </c>
      <c r="B119" s="13" t="s">
        <v>108</v>
      </c>
      <c r="C119" s="13" t="s">
        <v>112</v>
      </c>
      <c r="D119" s="19">
        <v>50.1</v>
      </c>
      <c r="E119" s="19">
        <v>54.4</v>
      </c>
      <c r="F119" s="19">
        <v>61.9</v>
      </c>
      <c r="G119" s="19">
        <v>70</v>
      </c>
      <c r="H119" s="19">
        <v>78.900000000000006</v>
      </c>
      <c r="I119" s="19">
        <v>87.1</v>
      </c>
      <c r="J119" s="19">
        <v>90.5</v>
      </c>
      <c r="K119" s="19">
        <v>88.3</v>
      </c>
      <c r="L119" s="19">
        <v>81.8</v>
      </c>
      <c r="M119" s="19">
        <v>71.3</v>
      </c>
      <c r="N119" s="19">
        <v>59</v>
      </c>
      <c r="O119" s="19">
        <v>50.1</v>
      </c>
      <c r="P119" s="15">
        <v>70.3</v>
      </c>
    </row>
    <row r="120" spans="1:16" ht="13.5" thickBot="1" x14ac:dyDescent="0.25">
      <c r="A120" s="13" t="s">
        <v>49</v>
      </c>
      <c r="B120" s="13" t="s">
        <v>109</v>
      </c>
      <c r="C120" s="13" t="s">
        <v>113</v>
      </c>
      <c r="D120" s="19">
        <v>12.1</v>
      </c>
      <c r="E120" s="19">
        <v>12.5</v>
      </c>
      <c r="F120" s="19">
        <v>13.9</v>
      </c>
      <c r="G120" s="19">
        <v>14.8</v>
      </c>
      <c r="H120" s="19">
        <v>13.6</v>
      </c>
      <c r="I120" s="19">
        <v>13.9</v>
      </c>
      <c r="J120" s="19">
        <v>12.3</v>
      </c>
      <c r="K120" s="19">
        <v>11.6</v>
      </c>
      <c r="L120" s="19">
        <v>12.1</v>
      </c>
      <c r="M120" s="19">
        <v>12.5</v>
      </c>
      <c r="N120" s="19">
        <v>12.5</v>
      </c>
      <c r="O120" s="19">
        <v>12.1</v>
      </c>
      <c r="P120" s="15">
        <v>12.8</v>
      </c>
    </row>
    <row r="121" spans="1:16" ht="13.5" thickBot="1" x14ac:dyDescent="0.25">
      <c r="A121" s="13" t="s">
        <v>49</v>
      </c>
      <c r="B121" s="13" t="s">
        <v>110</v>
      </c>
      <c r="C121" s="13" t="s">
        <v>114</v>
      </c>
      <c r="D121" s="19">
        <v>882</v>
      </c>
      <c r="E121" s="19">
        <v>1232</v>
      </c>
      <c r="F121" s="19">
        <v>1607</v>
      </c>
      <c r="G121" s="19">
        <v>1972</v>
      </c>
      <c r="H121" s="19">
        <v>2156</v>
      </c>
      <c r="I121" s="19">
        <v>2357</v>
      </c>
      <c r="J121" s="19">
        <v>2313</v>
      </c>
      <c r="K121" s="19">
        <v>2021</v>
      </c>
      <c r="L121" s="19">
        <v>1748</v>
      </c>
      <c r="M121" s="19">
        <v>1388</v>
      </c>
      <c r="N121" s="19">
        <v>1057</v>
      </c>
      <c r="O121" s="19">
        <v>877</v>
      </c>
      <c r="P121" s="15">
        <v>1634</v>
      </c>
    </row>
    <row r="122" spans="1:16" ht="13.5" thickBot="1" x14ac:dyDescent="0.25">
      <c r="A122" s="12" t="s">
        <v>49</v>
      </c>
      <c r="B122" s="16" t="s">
        <v>111</v>
      </c>
      <c r="C122" s="16" t="s">
        <v>115</v>
      </c>
      <c r="D122" s="16"/>
      <c r="E122" s="16"/>
      <c r="F122" s="16"/>
      <c r="G122" s="16"/>
      <c r="H122" s="16"/>
      <c r="I122" s="16"/>
      <c r="J122" s="16"/>
      <c r="K122" s="16"/>
      <c r="L122" s="16"/>
      <c r="M122" s="16"/>
      <c r="N122" s="16"/>
      <c r="O122" s="16"/>
      <c r="P122" s="43">
        <v>12.95</v>
      </c>
    </row>
    <row r="123" spans="1:16" x14ac:dyDescent="0.2">
      <c r="A123" s="38" t="s">
        <v>50</v>
      </c>
      <c r="B123" s="39" t="s">
        <v>107</v>
      </c>
      <c r="C123" s="39" t="s">
        <v>112</v>
      </c>
      <c r="D123" s="39">
        <v>40.299999999999997</v>
      </c>
      <c r="E123" s="39">
        <v>43.9</v>
      </c>
      <c r="F123" s="39">
        <v>49.9</v>
      </c>
      <c r="G123" s="39">
        <v>57.5</v>
      </c>
      <c r="H123" s="39">
        <v>66.3</v>
      </c>
      <c r="I123" s="39">
        <v>71.900000000000006</v>
      </c>
      <c r="J123" s="39">
        <v>73.8</v>
      </c>
      <c r="K123" s="39">
        <v>73.5</v>
      </c>
      <c r="L123" s="39">
        <v>68.2</v>
      </c>
      <c r="M123" s="39">
        <v>58.8</v>
      </c>
      <c r="N123" s="39">
        <v>48.3</v>
      </c>
      <c r="O123" s="39">
        <v>41</v>
      </c>
      <c r="P123" s="40">
        <v>57.8</v>
      </c>
    </row>
    <row r="124" spans="1:16" x14ac:dyDescent="0.2">
      <c r="A124" s="13" t="s">
        <v>50</v>
      </c>
      <c r="B124" s="13" t="s">
        <v>108</v>
      </c>
      <c r="C124" s="13" t="s">
        <v>112</v>
      </c>
      <c r="D124" s="19">
        <v>61.6</v>
      </c>
      <c r="E124" s="19">
        <v>65.3</v>
      </c>
      <c r="F124" s="19">
        <v>71.599999999999994</v>
      </c>
      <c r="G124" s="19">
        <v>78.900000000000006</v>
      </c>
      <c r="H124" s="19">
        <v>85.9</v>
      </c>
      <c r="I124" s="19">
        <v>91.5</v>
      </c>
      <c r="J124" s="19">
        <v>94.4</v>
      </c>
      <c r="K124" s="19">
        <v>95.5</v>
      </c>
      <c r="L124" s="19">
        <v>89.8</v>
      </c>
      <c r="M124" s="19">
        <v>81.400000000000006</v>
      </c>
      <c r="N124" s="19">
        <v>70.5</v>
      </c>
      <c r="O124" s="19">
        <v>63.1</v>
      </c>
      <c r="P124" s="14">
        <v>79.099999999999994</v>
      </c>
    </row>
    <row r="125" spans="1:16" ht="13.5" thickBot="1" x14ac:dyDescent="0.25">
      <c r="A125" s="13" t="s">
        <v>50</v>
      </c>
      <c r="B125" s="13" t="s">
        <v>109</v>
      </c>
      <c r="C125" s="13" t="s">
        <v>113</v>
      </c>
      <c r="D125" s="19">
        <v>8.3000000000000007</v>
      </c>
      <c r="E125" s="19">
        <v>8.6999999999999993</v>
      </c>
      <c r="F125" s="19">
        <v>9.1999999999999993</v>
      </c>
      <c r="G125" s="19">
        <v>8.9</v>
      </c>
      <c r="H125" s="19">
        <v>8.5</v>
      </c>
      <c r="I125" s="19">
        <v>8.1</v>
      </c>
      <c r="J125" s="19">
        <v>7.4</v>
      </c>
      <c r="K125" s="19">
        <v>6.5</v>
      </c>
      <c r="L125" s="19">
        <v>6.3</v>
      </c>
      <c r="M125" s="19">
        <v>6.9</v>
      </c>
      <c r="N125" s="19">
        <v>7.6</v>
      </c>
      <c r="O125" s="19">
        <v>7.8</v>
      </c>
      <c r="P125" s="14">
        <v>7.8</v>
      </c>
    </row>
    <row r="126" spans="1:16" ht="13.5" thickBot="1" x14ac:dyDescent="0.25">
      <c r="A126" s="13" t="s">
        <v>50</v>
      </c>
      <c r="B126" s="13" t="s">
        <v>110</v>
      </c>
      <c r="C126" s="13" t="s">
        <v>114</v>
      </c>
      <c r="D126" s="19">
        <v>868</v>
      </c>
      <c r="E126" s="19">
        <v>1085</v>
      </c>
      <c r="F126" s="19">
        <v>1368</v>
      </c>
      <c r="G126" s="19">
        <v>1699</v>
      </c>
      <c r="H126" s="19">
        <v>1812</v>
      </c>
      <c r="I126" s="19">
        <v>2094</v>
      </c>
      <c r="J126" s="19">
        <v>2135</v>
      </c>
      <c r="K126" s="19">
        <v>2023</v>
      </c>
      <c r="L126" s="19">
        <v>1645</v>
      </c>
      <c r="M126" s="19">
        <v>1313</v>
      </c>
      <c r="N126" s="19">
        <v>956</v>
      </c>
      <c r="O126" s="19">
        <v>806</v>
      </c>
      <c r="P126" s="14">
        <v>1484</v>
      </c>
    </row>
    <row r="127" spans="1:16" ht="13.5" thickBot="1" x14ac:dyDescent="0.25">
      <c r="A127" s="12" t="s">
        <v>50</v>
      </c>
      <c r="B127" s="16" t="s">
        <v>111</v>
      </c>
      <c r="C127" s="16" t="s">
        <v>115</v>
      </c>
      <c r="D127" s="16"/>
      <c r="E127" s="16"/>
      <c r="F127" s="16"/>
      <c r="G127" s="16"/>
      <c r="H127" s="16"/>
      <c r="I127" s="16"/>
      <c r="J127" s="16"/>
      <c r="K127" s="16"/>
      <c r="L127" s="16"/>
      <c r="M127" s="16"/>
      <c r="N127" s="16"/>
      <c r="O127" s="16"/>
      <c r="P127" s="17">
        <v>14.33</v>
      </c>
    </row>
    <row r="128" spans="1:16" x14ac:dyDescent="0.2">
      <c r="A128" s="38" t="s">
        <v>51</v>
      </c>
      <c r="B128" s="39" t="s">
        <v>107</v>
      </c>
      <c r="C128" s="39" t="s">
        <v>112</v>
      </c>
      <c r="D128" s="39">
        <v>52.8</v>
      </c>
      <c r="E128" s="39">
        <v>56</v>
      </c>
      <c r="F128" s="39">
        <v>60.7</v>
      </c>
      <c r="G128" s="39">
        <v>66.599999999999994</v>
      </c>
      <c r="H128" s="39">
        <v>72.7</v>
      </c>
      <c r="I128" s="39">
        <v>76.400000000000006</v>
      </c>
      <c r="J128" s="39">
        <v>76.900000000000006</v>
      </c>
      <c r="K128" s="39">
        <v>76.8</v>
      </c>
      <c r="L128" s="39">
        <v>73.599999999999994</v>
      </c>
      <c r="M128" s="39">
        <v>67.599999999999994</v>
      </c>
      <c r="N128" s="39">
        <v>59.9</v>
      </c>
      <c r="O128" s="39">
        <v>53.5</v>
      </c>
      <c r="P128" s="40">
        <v>66.099999999999994</v>
      </c>
    </row>
    <row r="129" spans="1:16" x14ac:dyDescent="0.2">
      <c r="A129" s="13" t="s">
        <v>51</v>
      </c>
      <c r="B129" s="13" t="s">
        <v>108</v>
      </c>
      <c r="C129" s="13" t="s">
        <v>112</v>
      </c>
      <c r="D129" s="19">
        <v>70.599999999999994</v>
      </c>
      <c r="E129" s="19">
        <v>73.7</v>
      </c>
      <c r="F129" s="19">
        <v>78.099999999999994</v>
      </c>
      <c r="G129" s="19">
        <v>82.8</v>
      </c>
      <c r="H129" s="19">
        <v>88</v>
      </c>
      <c r="I129" s="19">
        <v>91.6</v>
      </c>
      <c r="J129" s="19">
        <v>92.8</v>
      </c>
      <c r="K129" s="19">
        <v>93.5</v>
      </c>
      <c r="L129" s="19">
        <v>89.6</v>
      </c>
      <c r="M129" s="19">
        <v>84.7</v>
      </c>
      <c r="N129" s="19">
        <v>78</v>
      </c>
      <c r="O129" s="19">
        <v>71.599999999999994</v>
      </c>
      <c r="P129" s="14">
        <v>82.9</v>
      </c>
    </row>
    <row r="130" spans="1:16" ht="13.5" thickBot="1" x14ac:dyDescent="0.25">
      <c r="A130" s="13" t="s">
        <v>51</v>
      </c>
      <c r="B130" s="13" t="s">
        <v>109</v>
      </c>
      <c r="C130" s="13" t="s">
        <v>113</v>
      </c>
      <c r="D130" s="19">
        <v>10.1</v>
      </c>
      <c r="E130" s="19">
        <v>11.2</v>
      </c>
      <c r="F130" s="19">
        <v>11.9</v>
      </c>
      <c r="G130" s="19">
        <v>12.5</v>
      </c>
      <c r="H130" s="19">
        <v>12.1</v>
      </c>
      <c r="I130" s="19">
        <v>11</v>
      </c>
      <c r="J130" s="19">
        <v>11</v>
      </c>
      <c r="K130" s="19">
        <v>9.1999999999999993</v>
      </c>
      <c r="L130" s="19">
        <v>7.4</v>
      </c>
      <c r="M130" s="19">
        <v>8.6999999999999993</v>
      </c>
      <c r="N130" s="19">
        <v>9.1999999999999993</v>
      </c>
      <c r="O130" s="19">
        <v>9.6</v>
      </c>
      <c r="P130" s="14">
        <v>10.3</v>
      </c>
    </row>
    <row r="131" spans="1:16" ht="13.5" thickBot="1" x14ac:dyDescent="0.25">
      <c r="A131" s="13" t="s">
        <v>51</v>
      </c>
      <c r="B131" s="13" t="s">
        <v>110</v>
      </c>
      <c r="C131" s="13" t="s">
        <v>114</v>
      </c>
      <c r="D131" s="19">
        <v>899</v>
      </c>
      <c r="E131" s="19">
        <v>1152</v>
      </c>
      <c r="F131" s="19">
        <v>1425</v>
      </c>
      <c r="G131" s="19">
        <v>1673</v>
      </c>
      <c r="H131" s="19">
        <v>1913</v>
      </c>
      <c r="I131" s="19">
        <v>2051</v>
      </c>
      <c r="J131" s="19">
        <v>2061</v>
      </c>
      <c r="K131" s="19">
        <v>1951</v>
      </c>
      <c r="L131" s="19">
        <v>1616</v>
      </c>
      <c r="M131" s="19">
        <v>1386</v>
      </c>
      <c r="N131" s="19">
        <v>1040</v>
      </c>
      <c r="O131" s="19">
        <v>846</v>
      </c>
      <c r="P131" s="14">
        <v>1501</v>
      </c>
    </row>
    <row r="132" spans="1:16" ht="13.5" thickBot="1" x14ac:dyDescent="0.25">
      <c r="A132" s="12" t="s">
        <v>51</v>
      </c>
      <c r="B132" s="16" t="s">
        <v>111</v>
      </c>
      <c r="C132" s="16" t="s">
        <v>115</v>
      </c>
      <c r="D132" s="16"/>
      <c r="E132" s="16"/>
      <c r="F132" s="16"/>
      <c r="G132" s="16"/>
      <c r="H132" s="16"/>
      <c r="I132" s="16"/>
      <c r="J132" s="16"/>
      <c r="K132" s="16"/>
      <c r="L132" s="16"/>
      <c r="M132" s="16"/>
      <c r="N132" s="16"/>
      <c r="O132" s="16"/>
      <c r="P132" s="17">
        <v>14.68</v>
      </c>
    </row>
    <row r="133" spans="1:16" x14ac:dyDescent="0.2">
      <c r="A133" s="44" t="s">
        <v>52</v>
      </c>
      <c r="B133" s="39" t="s">
        <v>107</v>
      </c>
      <c r="C133" s="39" t="s">
        <v>112</v>
      </c>
      <c r="D133" s="39">
        <v>48.4</v>
      </c>
      <c r="E133" s="39">
        <v>51.9</v>
      </c>
      <c r="F133" s="39">
        <v>57.3</v>
      </c>
      <c r="G133" s="39">
        <v>63.9</v>
      </c>
      <c r="H133" s="39">
        <v>70.599999999999994</v>
      </c>
      <c r="I133" s="39">
        <v>74.5</v>
      </c>
      <c r="J133" s="39">
        <v>75.3</v>
      </c>
      <c r="K133" s="39">
        <v>75.5</v>
      </c>
      <c r="L133" s="39">
        <v>72.5</v>
      </c>
      <c r="M133" s="39">
        <v>65.3</v>
      </c>
      <c r="N133" s="39">
        <v>56.2</v>
      </c>
      <c r="O133" s="39">
        <v>49.6</v>
      </c>
      <c r="P133" s="40">
        <v>63.4</v>
      </c>
    </row>
    <row r="134" spans="1:16" x14ac:dyDescent="0.2">
      <c r="A134" s="45" t="s">
        <v>52</v>
      </c>
      <c r="B134" s="13" t="s">
        <v>108</v>
      </c>
      <c r="C134" s="13" t="s">
        <v>112</v>
      </c>
      <c r="D134" s="19">
        <v>66.900000000000006</v>
      </c>
      <c r="E134" s="19">
        <v>70.599999999999994</v>
      </c>
      <c r="F134" s="19">
        <v>75.5</v>
      </c>
      <c r="G134" s="19">
        <v>81.099999999999994</v>
      </c>
      <c r="H134" s="19">
        <v>86.2</v>
      </c>
      <c r="I134" s="19">
        <v>90.4</v>
      </c>
      <c r="J134" s="19">
        <v>92.4</v>
      </c>
      <c r="K134" s="19">
        <v>93.8</v>
      </c>
      <c r="L134" s="19">
        <v>89.3</v>
      </c>
      <c r="M134" s="19">
        <v>83.7</v>
      </c>
      <c r="N134" s="19">
        <v>75.099999999999994</v>
      </c>
      <c r="O134" s="19">
        <v>68.5</v>
      </c>
      <c r="P134" s="14">
        <v>81.099999999999994</v>
      </c>
    </row>
    <row r="135" spans="1:16" ht="13.5" thickBot="1" x14ac:dyDescent="0.25">
      <c r="A135" s="45" t="s">
        <v>52</v>
      </c>
      <c r="B135" s="13" t="s">
        <v>109</v>
      </c>
      <c r="C135" s="13" t="s">
        <v>113</v>
      </c>
      <c r="D135" s="13">
        <v>12.1</v>
      </c>
      <c r="E135" s="19">
        <v>12.5</v>
      </c>
      <c r="F135" s="19">
        <v>13.4</v>
      </c>
      <c r="G135" s="19">
        <v>14.1</v>
      </c>
      <c r="H135" s="19">
        <v>12.5</v>
      </c>
      <c r="I135" s="19">
        <v>10.5</v>
      </c>
      <c r="J135" s="19">
        <v>10.7</v>
      </c>
      <c r="K135" s="19">
        <v>9.8000000000000007</v>
      </c>
      <c r="L135" s="19">
        <v>9.1999999999999993</v>
      </c>
      <c r="M135" s="19">
        <v>10.7</v>
      </c>
      <c r="N135" s="19">
        <v>11.4</v>
      </c>
      <c r="O135" s="19">
        <v>11.6</v>
      </c>
      <c r="P135" s="14">
        <v>11.6</v>
      </c>
    </row>
    <row r="136" spans="1:16" ht="13.5" thickBot="1" x14ac:dyDescent="0.25">
      <c r="A136" s="45" t="s">
        <v>52</v>
      </c>
      <c r="B136" s="13" t="s">
        <v>110</v>
      </c>
      <c r="C136" s="13" t="s">
        <v>114</v>
      </c>
      <c r="D136" s="19">
        <v>891</v>
      </c>
      <c r="E136" s="19">
        <v>1113</v>
      </c>
      <c r="F136" s="19">
        <v>1385</v>
      </c>
      <c r="G136" s="19">
        <v>1636</v>
      </c>
      <c r="H136" s="19">
        <v>1850</v>
      </c>
      <c r="I136" s="19">
        <v>2072</v>
      </c>
      <c r="J136" s="19">
        <v>2110</v>
      </c>
      <c r="K136" s="19">
        <v>1975</v>
      </c>
      <c r="L136" s="19">
        <v>1662</v>
      </c>
      <c r="M136" s="19">
        <v>1397</v>
      </c>
      <c r="N136" s="19">
        <v>1040</v>
      </c>
      <c r="O136" s="19">
        <v>838</v>
      </c>
      <c r="P136" s="14">
        <v>1497</v>
      </c>
    </row>
    <row r="137" spans="1:16" ht="13.5" thickBot="1" x14ac:dyDescent="0.25">
      <c r="A137" s="46" t="s">
        <v>52</v>
      </c>
      <c r="B137" s="16" t="s">
        <v>111</v>
      </c>
      <c r="C137" s="16" t="s">
        <v>115</v>
      </c>
      <c r="D137" s="16"/>
      <c r="E137" s="16"/>
      <c r="F137" s="16"/>
      <c r="G137" s="16"/>
      <c r="H137" s="16"/>
      <c r="I137" s="16"/>
      <c r="J137" s="16"/>
      <c r="K137" s="16"/>
      <c r="L137" s="16"/>
      <c r="M137" s="16"/>
      <c r="N137" s="16"/>
      <c r="O137" s="16"/>
      <c r="P137" s="17">
        <v>14.68</v>
      </c>
    </row>
    <row r="138" spans="1:16" x14ac:dyDescent="0.2">
      <c r="A138" s="38" t="s">
        <v>54</v>
      </c>
      <c r="B138" s="39" t="s">
        <v>107</v>
      </c>
      <c r="C138" s="39" t="s">
        <v>112</v>
      </c>
      <c r="D138" s="39">
        <v>34.6</v>
      </c>
      <c r="E138" s="39">
        <v>38.799999999999997</v>
      </c>
      <c r="F138" s="39">
        <v>44.3</v>
      </c>
      <c r="G138" s="39">
        <v>52.2</v>
      </c>
      <c r="H138" s="39">
        <v>62.3</v>
      </c>
      <c r="I138" s="39">
        <v>69.8</v>
      </c>
      <c r="J138" s="39">
        <v>72.2</v>
      </c>
      <c r="K138" s="39">
        <v>70.599999999999994</v>
      </c>
      <c r="L138" s="39">
        <v>64.5</v>
      </c>
      <c r="M138" s="39">
        <v>53.3</v>
      </c>
      <c r="N138" s="39">
        <v>40.799999999999997</v>
      </c>
      <c r="O138" s="39">
        <v>33.9</v>
      </c>
      <c r="P138" s="40">
        <v>53.1</v>
      </c>
    </row>
    <row r="139" spans="1:16" x14ac:dyDescent="0.2">
      <c r="A139" s="13" t="s">
        <v>54</v>
      </c>
      <c r="B139" s="13" t="s">
        <v>108</v>
      </c>
      <c r="C139" s="13" t="s">
        <v>112</v>
      </c>
      <c r="D139" s="19">
        <v>58.2</v>
      </c>
      <c r="E139" s="19">
        <v>63.2</v>
      </c>
      <c r="F139" s="19">
        <v>70.3</v>
      </c>
      <c r="G139" s="19">
        <v>78.7</v>
      </c>
      <c r="H139" s="19">
        <v>88.2</v>
      </c>
      <c r="I139" s="19">
        <v>95.4</v>
      </c>
      <c r="J139" s="19">
        <v>94.4</v>
      </c>
      <c r="K139" s="19">
        <v>92.4</v>
      </c>
      <c r="L139" s="19">
        <v>87.4</v>
      </c>
      <c r="M139" s="19">
        <v>78.3</v>
      </c>
      <c r="N139" s="19">
        <v>66.099999999999994</v>
      </c>
      <c r="O139" s="19">
        <v>57.3</v>
      </c>
      <c r="P139" s="14">
        <v>77.5</v>
      </c>
    </row>
    <row r="140" spans="1:16" ht="13.5" thickBot="1" x14ac:dyDescent="0.25">
      <c r="A140" s="13" t="s">
        <v>54</v>
      </c>
      <c r="B140" s="13" t="s">
        <v>109</v>
      </c>
      <c r="C140" s="13" t="s">
        <v>113</v>
      </c>
      <c r="D140" s="19">
        <v>7.8</v>
      </c>
      <c r="E140" s="19">
        <v>8.9</v>
      </c>
      <c r="F140" s="19">
        <v>10.1</v>
      </c>
      <c r="G140" s="19">
        <v>11</v>
      </c>
      <c r="H140" s="19">
        <v>10.1</v>
      </c>
      <c r="I140" s="19">
        <v>9.1999999999999993</v>
      </c>
      <c r="J140" s="19">
        <v>8.1</v>
      </c>
      <c r="K140" s="19">
        <v>7.4</v>
      </c>
      <c r="L140" s="19">
        <v>7.4</v>
      </c>
      <c r="M140" s="19">
        <v>7.6</v>
      </c>
      <c r="N140" s="19">
        <v>7.4</v>
      </c>
      <c r="O140" s="19">
        <v>7.4</v>
      </c>
      <c r="P140" s="14">
        <v>8.5</v>
      </c>
    </row>
    <row r="141" spans="1:16" ht="13.5" thickBot="1" x14ac:dyDescent="0.25">
      <c r="A141" s="13" t="s">
        <v>54</v>
      </c>
      <c r="B141" s="13" t="s">
        <v>110</v>
      </c>
      <c r="C141" s="13" t="s">
        <v>114</v>
      </c>
      <c r="D141" s="19">
        <v>1125</v>
      </c>
      <c r="E141" s="19">
        <v>1406</v>
      </c>
      <c r="F141" s="19">
        <v>1856</v>
      </c>
      <c r="G141" s="19">
        <v>2259</v>
      </c>
      <c r="H141" s="19">
        <v>2494</v>
      </c>
      <c r="I141" s="19">
        <v>2537</v>
      </c>
      <c r="J141" s="19">
        <v>2276</v>
      </c>
      <c r="K141" s="19">
        <v>2106</v>
      </c>
      <c r="L141" s="19">
        <v>1895</v>
      </c>
      <c r="M141" s="19">
        <v>1574</v>
      </c>
      <c r="N141" s="19">
        <v>1244</v>
      </c>
      <c r="O141" s="19">
        <v>1048</v>
      </c>
      <c r="P141" s="14">
        <v>1818</v>
      </c>
    </row>
    <row r="142" spans="1:16" ht="13.5" thickBot="1" x14ac:dyDescent="0.25">
      <c r="A142" s="12" t="s">
        <v>54</v>
      </c>
      <c r="B142" s="16" t="s">
        <v>111</v>
      </c>
      <c r="C142" s="16" t="s">
        <v>115</v>
      </c>
      <c r="D142" s="16"/>
      <c r="E142" s="16"/>
      <c r="F142" s="16"/>
      <c r="G142" s="16"/>
      <c r="H142" s="16"/>
      <c r="I142" s="16"/>
      <c r="J142" s="16"/>
      <c r="K142" s="16"/>
      <c r="L142" s="16"/>
      <c r="M142" s="16"/>
      <c r="N142" s="16"/>
      <c r="O142" s="16"/>
      <c r="P142" s="17">
        <v>12.76</v>
      </c>
    </row>
    <row r="143" spans="1:16" x14ac:dyDescent="0.2">
      <c r="A143" s="38" t="s">
        <v>187</v>
      </c>
      <c r="B143" s="39" t="s">
        <v>107</v>
      </c>
      <c r="C143" s="39" t="s">
        <v>112</v>
      </c>
      <c r="D143" s="41">
        <v>37</v>
      </c>
      <c r="E143" s="39">
        <v>40.799999999999997</v>
      </c>
      <c r="F143" s="39">
        <v>47.8</v>
      </c>
      <c r="G143" s="39">
        <v>55.8</v>
      </c>
      <c r="H143" s="39">
        <v>65.400000000000006</v>
      </c>
      <c r="I143" s="39">
        <v>72.599999999999994</v>
      </c>
      <c r="J143" s="39">
        <v>76.3</v>
      </c>
      <c r="K143" s="39">
        <v>76.099999999999994</v>
      </c>
      <c r="L143" s="39">
        <v>68.599999999999994</v>
      </c>
      <c r="M143" s="39">
        <v>57.8</v>
      </c>
      <c r="N143" s="39">
        <v>47.1</v>
      </c>
      <c r="O143" s="39">
        <v>38.799999999999997</v>
      </c>
      <c r="P143" s="40">
        <v>57</v>
      </c>
    </row>
    <row r="144" spans="1:16" x14ac:dyDescent="0.2">
      <c r="A144" s="13" t="s">
        <v>187</v>
      </c>
      <c r="B144" s="13" t="s">
        <v>108</v>
      </c>
      <c r="C144" s="13" t="s">
        <v>112</v>
      </c>
      <c r="D144" s="19">
        <v>56.2</v>
      </c>
      <c r="E144" s="19">
        <v>60.7</v>
      </c>
      <c r="F144" s="19">
        <v>67.8</v>
      </c>
      <c r="G144" s="19">
        <v>75.7</v>
      </c>
      <c r="H144" s="19">
        <v>83.4</v>
      </c>
      <c r="I144" s="19">
        <v>91</v>
      </c>
      <c r="J144" s="19">
        <v>95.3</v>
      </c>
      <c r="K144" s="19">
        <v>95.3</v>
      </c>
      <c r="L144" s="19">
        <v>87.8</v>
      </c>
      <c r="M144" s="19">
        <v>78</v>
      </c>
      <c r="N144" s="19">
        <v>66.2</v>
      </c>
      <c r="O144" s="19">
        <v>57.7</v>
      </c>
      <c r="P144" s="14">
        <v>76.3</v>
      </c>
    </row>
    <row r="145" spans="1:16" ht="13.5" thickBot="1" x14ac:dyDescent="0.25">
      <c r="A145" s="13" t="s">
        <v>187</v>
      </c>
      <c r="B145" s="13" t="s">
        <v>109</v>
      </c>
      <c r="C145" s="13" t="s">
        <v>113</v>
      </c>
      <c r="D145" s="19">
        <v>10.5</v>
      </c>
      <c r="E145" s="19">
        <v>10.7</v>
      </c>
      <c r="F145" s="19">
        <v>11.9</v>
      </c>
      <c r="G145" s="19">
        <v>12.1</v>
      </c>
      <c r="H145" s="19">
        <v>11</v>
      </c>
      <c r="I145" s="13">
        <v>10.5</v>
      </c>
      <c r="J145" s="19">
        <v>9.8000000000000007</v>
      </c>
      <c r="K145" s="19">
        <v>8.5</v>
      </c>
      <c r="L145" s="19">
        <v>8.3000000000000007</v>
      </c>
      <c r="M145" s="19">
        <v>9.4</v>
      </c>
      <c r="N145" s="19">
        <v>10.3</v>
      </c>
      <c r="O145" s="19">
        <v>10.3</v>
      </c>
      <c r="P145" s="14">
        <v>10.3</v>
      </c>
    </row>
    <row r="146" spans="1:16" ht="13.5" thickBot="1" x14ac:dyDescent="0.25">
      <c r="A146" s="13" t="s">
        <v>187</v>
      </c>
      <c r="B146" s="13" t="s">
        <v>110</v>
      </c>
      <c r="C146" s="13" t="s">
        <v>114</v>
      </c>
      <c r="D146" s="19">
        <v>837</v>
      </c>
      <c r="E146" s="19">
        <v>1089</v>
      </c>
      <c r="F146" s="19">
        <v>1388</v>
      </c>
      <c r="G146" s="19">
        <v>1744</v>
      </c>
      <c r="H146" s="19">
        <v>1860</v>
      </c>
      <c r="I146" s="19">
        <v>2087</v>
      </c>
      <c r="J146" s="19">
        <v>2171</v>
      </c>
      <c r="K146" s="19">
        <v>1981</v>
      </c>
      <c r="L146" s="19">
        <v>1623</v>
      </c>
      <c r="M146" s="19">
        <v>1263</v>
      </c>
      <c r="N146" s="19">
        <v>933</v>
      </c>
      <c r="O146" s="19">
        <v>795</v>
      </c>
      <c r="P146" s="14">
        <v>1481</v>
      </c>
    </row>
    <row r="147" spans="1:16" ht="13.5" thickBot="1" x14ac:dyDescent="0.25">
      <c r="A147" s="12" t="s">
        <v>187</v>
      </c>
      <c r="B147" s="16" t="s">
        <v>111</v>
      </c>
      <c r="C147" s="16" t="s">
        <v>115</v>
      </c>
      <c r="D147" s="16"/>
      <c r="E147" s="16"/>
      <c r="F147" s="16"/>
      <c r="G147" s="16"/>
      <c r="H147" s="16"/>
      <c r="I147" s="16"/>
      <c r="J147" s="16"/>
      <c r="K147" s="16"/>
      <c r="L147" s="16"/>
      <c r="M147" s="16"/>
      <c r="N147" s="16"/>
      <c r="O147" s="16"/>
      <c r="P147" s="17">
        <v>14.4</v>
      </c>
    </row>
    <row r="148" spans="1:16" x14ac:dyDescent="0.2">
      <c r="A148" s="38" t="s">
        <v>56</v>
      </c>
      <c r="B148" s="39" t="s">
        <v>107</v>
      </c>
      <c r="C148" s="39" t="s">
        <v>112</v>
      </c>
      <c r="D148" s="39">
        <v>43.8</v>
      </c>
      <c r="E148" s="39">
        <v>47</v>
      </c>
      <c r="F148" s="39">
        <v>52.7</v>
      </c>
      <c r="G148" s="39">
        <v>59.6</v>
      </c>
      <c r="H148" s="39">
        <v>67.900000000000006</v>
      </c>
      <c r="I148" s="39">
        <v>73.400000000000006</v>
      </c>
      <c r="J148" s="39">
        <v>75.099999999999994</v>
      </c>
      <c r="K148" s="39">
        <v>74.7</v>
      </c>
      <c r="L148" s="39">
        <v>69.900000000000006</v>
      </c>
      <c r="M148" s="39">
        <v>61</v>
      </c>
      <c r="N148" s="39">
        <v>51.2</v>
      </c>
      <c r="O148" s="39">
        <v>44.9</v>
      </c>
      <c r="P148" s="40">
        <v>60.1</v>
      </c>
    </row>
    <row r="149" spans="1:16" x14ac:dyDescent="0.2">
      <c r="A149" s="13" t="s">
        <v>56</v>
      </c>
      <c r="B149" s="13" t="s">
        <v>108</v>
      </c>
      <c r="C149" s="13" t="s">
        <v>112</v>
      </c>
      <c r="D149" s="19">
        <v>62.6</v>
      </c>
      <c r="E149" s="19">
        <v>66.400000000000006</v>
      </c>
      <c r="F149" s="19">
        <v>72.3</v>
      </c>
      <c r="G149" s="19">
        <v>78.7</v>
      </c>
      <c r="H149" s="19">
        <v>85.9</v>
      </c>
      <c r="I149" s="19">
        <v>90.7</v>
      </c>
      <c r="J149" s="19">
        <v>93.1</v>
      </c>
      <c r="K149" s="19">
        <v>93.4</v>
      </c>
      <c r="L149" s="19">
        <v>88.9</v>
      </c>
      <c r="M149" s="19">
        <v>81.2</v>
      </c>
      <c r="N149" s="19">
        <v>71.2</v>
      </c>
      <c r="O149" s="19">
        <v>64.099999999999994</v>
      </c>
      <c r="P149" s="14">
        <v>79</v>
      </c>
    </row>
    <row r="150" spans="1:16" ht="13.5" thickBot="1" x14ac:dyDescent="0.25">
      <c r="A150" s="13" t="s">
        <v>56</v>
      </c>
      <c r="B150" s="13" t="s">
        <v>109</v>
      </c>
      <c r="C150" s="13" t="s">
        <v>113</v>
      </c>
      <c r="D150" s="19">
        <v>7.8</v>
      </c>
      <c r="E150" s="19">
        <v>8.3000000000000007</v>
      </c>
      <c r="F150" s="19">
        <v>8.5</v>
      </c>
      <c r="G150" s="19">
        <v>8.9</v>
      </c>
      <c r="H150" s="19">
        <v>8.1</v>
      </c>
      <c r="I150" s="19">
        <v>6.7</v>
      </c>
      <c r="J150" s="19">
        <v>5.8</v>
      </c>
      <c r="K150" s="19">
        <v>5.6</v>
      </c>
      <c r="L150" s="19">
        <v>6</v>
      </c>
      <c r="M150" s="19">
        <v>6.7</v>
      </c>
      <c r="N150" s="19">
        <v>7.2</v>
      </c>
      <c r="O150" s="19">
        <v>7.6</v>
      </c>
      <c r="P150" s="14">
        <v>7.4</v>
      </c>
    </row>
    <row r="151" spans="1:16" ht="13.5" thickBot="1" x14ac:dyDescent="0.25">
      <c r="A151" s="13" t="s">
        <v>56</v>
      </c>
      <c r="B151" s="13" t="s">
        <v>110</v>
      </c>
      <c r="C151" s="13" t="s">
        <v>114</v>
      </c>
      <c r="D151" s="19">
        <v>832</v>
      </c>
      <c r="E151" s="19">
        <v>1022</v>
      </c>
      <c r="F151" s="19">
        <v>1333</v>
      </c>
      <c r="G151" s="19">
        <v>1635</v>
      </c>
      <c r="H151" s="19">
        <v>1828</v>
      </c>
      <c r="I151" s="19">
        <v>1915</v>
      </c>
      <c r="J151" s="19">
        <v>1930</v>
      </c>
      <c r="K151" s="19">
        <v>1804</v>
      </c>
      <c r="L151" s="19">
        <v>1567</v>
      </c>
      <c r="M151" s="19">
        <v>1288</v>
      </c>
      <c r="N151" s="19">
        <v>930</v>
      </c>
      <c r="O151" s="19">
        <v>767</v>
      </c>
      <c r="P151" s="14">
        <v>1404</v>
      </c>
    </row>
    <row r="152" spans="1:16" ht="13.5" thickBot="1" x14ac:dyDescent="0.25">
      <c r="A152" s="12" t="s">
        <v>56</v>
      </c>
      <c r="B152" s="16" t="s">
        <v>111</v>
      </c>
      <c r="C152" s="16" t="s">
        <v>115</v>
      </c>
      <c r="D152" s="16"/>
      <c r="E152" s="16"/>
      <c r="F152" s="16"/>
      <c r="G152" s="16"/>
      <c r="H152" s="16"/>
      <c r="I152" s="16"/>
      <c r="J152" s="16"/>
      <c r="K152" s="16"/>
      <c r="L152" s="16"/>
      <c r="M152" s="16"/>
      <c r="N152" s="16"/>
      <c r="O152" s="16"/>
      <c r="P152" s="17">
        <v>14.65</v>
      </c>
    </row>
    <row r="153" spans="1:16" x14ac:dyDescent="0.2">
      <c r="A153" s="38" t="s">
        <v>57</v>
      </c>
      <c r="B153" s="39" t="s">
        <v>107</v>
      </c>
      <c r="C153" s="39" t="s">
        <v>112</v>
      </c>
      <c r="D153" s="39">
        <v>28</v>
      </c>
      <c r="E153" s="39">
        <v>31.6</v>
      </c>
      <c r="F153" s="39">
        <v>38.200000000000003</v>
      </c>
      <c r="G153" s="39">
        <v>46.8</v>
      </c>
      <c r="H153" s="39">
        <v>57.3</v>
      </c>
      <c r="I153" s="39">
        <v>65.400000000000006</v>
      </c>
      <c r="J153" s="39">
        <v>69</v>
      </c>
      <c r="K153" s="39">
        <v>67.5</v>
      </c>
      <c r="L153" s="39">
        <v>59.6</v>
      </c>
      <c r="M153" s="39">
        <v>48.6</v>
      </c>
      <c r="N153" s="39">
        <v>36.6</v>
      </c>
      <c r="O153" s="39">
        <v>28.5</v>
      </c>
      <c r="P153" s="40">
        <v>48.1</v>
      </c>
    </row>
    <row r="154" spans="1:16" x14ac:dyDescent="0.2">
      <c r="A154" s="13" t="s">
        <v>57</v>
      </c>
      <c r="B154" s="13" t="s">
        <v>108</v>
      </c>
      <c r="C154" s="13" t="s">
        <v>112</v>
      </c>
      <c r="D154" s="19">
        <v>54</v>
      </c>
      <c r="E154" s="19">
        <v>58.8</v>
      </c>
      <c r="F154" s="19">
        <v>66.099999999999994</v>
      </c>
      <c r="G154" s="19">
        <v>74.7</v>
      </c>
      <c r="H154" s="19">
        <v>83.3</v>
      </c>
      <c r="I154" s="19">
        <v>90.3</v>
      </c>
      <c r="J154" s="19">
        <v>92.3</v>
      </c>
      <c r="K154" s="19">
        <v>90.6</v>
      </c>
      <c r="L154" s="19">
        <v>84</v>
      </c>
      <c r="M154" s="19">
        <v>74.8</v>
      </c>
      <c r="N154" s="19">
        <v>62.7</v>
      </c>
      <c r="O154" s="19">
        <v>54.6</v>
      </c>
      <c r="P154" s="14">
        <v>73.900000000000006</v>
      </c>
    </row>
    <row r="155" spans="1:16" ht="13.5" thickBot="1" x14ac:dyDescent="0.25">
      <c r="A155" s="13" t="s">
        <v>57</v>
      </c>
      <c r="B155" s="13" t="s">
        <v>109</v>
      </c>
      <c r="C155" s="13" t="s">
        <v>113</v>
      </c>
      <c r="D155" s="19">
        <v>11.6</v>
      </c>
      <c r="E155" s="19">
        <v>12.3</v>
      </c>
      <c r="F155" s="19">
        <v>13.9</v>
      </c>
      <c r="G155" s="19">
        <v>14.3</v>
      </c>
      <c r="H155" s="19">
        <v>13.6</v>
      </c>
      <c r="I155" s="19">
        <v>13</v>
      </c>
      <c r="J155" s="19">
        <v>11</v>
      </c>
      <c r="K155" s="19">
        <v>9.8000000000000007</v>
      </c>
      <c r="L155" s="19">
        <v>10.1</v>
      </c>
      <c r="M155" s="19">
        <v>11</v>
      </c>
      <c r="N155" s="19">
        <v>11.4</v>
      </c>
      <c r="O155" s="19">
        <v>11.4</v>
      </c>
      <c r="P155" s="14">
        <v>11.9</v>
      </c>
    </row>
    <row r="156" spans="1:16" ht="13.5" thickBot="1" x14ac:dyDescent="0.25">
      <c r="A156" s="13" t="s">
        <v>57</v>
      </c>
      <c r="B156" s="13" t="s">
        <v>110</v>
      </c>
      <c r="C156" s="13" t="s">
        <v>114</v>
      </c>
      <c r="D156" s="19">
        <v>968</v>
      </c>
      <c r="E156" s="19">
        <v>1252</v>
      </c>
      <c r="F156" s="19">
        <v>1627</v>
      </c>
      <c r="G156" s="19">
        <v>2008</v>
      </c>
      <c r="H156" s="19">
        <v>2166</v>
      </c>
      <c r="I156" s="19">
        <v>2352</v>
      </c>
      <c r="J156" s="19">
        <v>2283</v>
      </c>
      <c r="K156" s="19">
        <v>2060</v>
      </c>
      <c r="L156" s="19">
        <v>1728</v>
      </c>
      <c r="M156" s="19">
        <v>1406</v>
      </c>
      <c r="N156" s="19">
        <v>1081</v>
      </c>
      <c r="O156" s="19">
        <v>904</v>
      </c>
      <c r="P156" s="14">
        <v>1653</v>
      </c>
    </row>
    <row r="157" spans="1:16" ht="13.5" thickBot="1" x14ac:dyDescent="0.25">
      <c r="A157" s="12" t="s">
        <v>57</v>
      </c>
      <c r="B157" s="16" t="s">
        <v>111</v>
      </c>
      <c r="C157" s="16" t="s">
        <v>115</v>
      </c>
      <c r="D157" s="16"/>
      <c r="E157" s="16"/>
      <c r="F157" s="16"/>
      <c r="G157" s="16"/>
      <c r="H157" s="16"/>
      <c r="I157" s="16"/>
      <c r="J157" s="16"/>
      <c r="K157" s="16"/>
      <c r="L157" s="16"/>
      <c r="M157" s="16"/>
      <c r="N157" s="16"/>
      <c r="O157" s="16"/>
      <c r="P157" s="17">
        <v>13.07</v>
      </c>
    </row>
    <row r="158" spans="1:16" x14ac:dyDescent="0.2">
      <c r="A158" s="38" t="s">
        <v>116</v>
      </c>
      <c r="B158" s="39" t="s">
        <v>107</v>
      </c>
      <c r="C158" s="39" t="s">
        <v>112</v>
      </c>
      <c r="D158" s="39">
        <v>39.299999999999997</v>
      </c>
      <c r="E158" s="39">
        <v>42.4</v>
      </c>
      <c r="F158" s="39">
        <v>48.6</v>
      </c>
      <c r="G158" s="39">
        <v>55.6</v>
      </c>
      <c r="H158" s="39">
        <v>64.7</v>
      </c>
      <c r="I158" s="39">
        <v>70.7</v>
      </c>
      <c r="J158" s="39">
        <v>72.8</v>
      </c>
      <c r="K158" s="39">
        <v>72.099999999999994</v>
      </c>
      <c r="L158" s="39">
        <v>66.8</v>
      </c>
      <c r="M158" s="39">
        <v>56.5</v>
      </c>
      <c r="N158" s="39">
        <v>46.8</v>
      </c>
      <c r="O158" s="39">
        <v>40.299999999999997</v>
      </c>
      <c r="P158" s="40">
        <v>56.4</v>
      </c>
    </row>
    <row r="159" spans="1:16" x14ac:dyDescent="0.2">
      <c r="A159" s="13" t="s">
        <v>116</v>
      </c>
      <c r="B159" s="13" t="s">
        <v>108</v>
      </c>
      <c r="C159" s="13" t="s">
        <v>112</v>
      </c>
      <c r="D159" s="19">
        <v>59.8</v>
      </c>
      <c r="E159" s="19">
        <v>64</v>
      </c>
      <c r="F159" s="19">
        <v>70.5</v>
      </c>
      <c r="G159" s="19">
        <v>77.5</v>
      </c>
      <c r="H159" s="19">
        <v>84.6</v>
      </c>
      <c r="I159" s="19">
        <v>90</v>
      </c>
      <c r="J159" s="19">
        <v>93.1</v>
      </c>
      <c r="K159" s="19">
        <v>93.6</v>
      </c>
      <c r="L159" s="19">
        <v>88.3</v>
      </c>
      <c r="M159" s="19">
        <v>79.5</v>
      </c>
      <c r="N159" s="19">
        <v>68.8</v>
      </c>
      <c r="O159" s="19">
        <v>61.1</v>
      </c>
      <c r="P159" s="14">
        <v>77.599999999999994</v>
      </c>
    </row>
    <row r="160" spans="1:16" ht="13.5" thickBot="1" x14ac:dyDescent="0.25">
      <c r="A160" s="13" t="s">
        <v>116</v>
      </c>
      <c r="B160" s="13" t="s">
        <v>109</v>
      </c>
      <c r="C160" s="13" t="s">
        <v>113</v>
      </c>
      <c r="D160" s="19">
        <v>6.9</v>
      </c>
      <c r="E160" s="19">
        <v>7.4</v>
      </c>
      <c r="F160" s="19">
        <v>7.6</v>
      </c>
      <c r="G160" s="19">
        <v>7.6</v>
      </c>
      <c r="H160" s="19">
        <v>6.9</v>
      </c>
      <c r="I160" s="19">
        <v>5.8</v>
      </c>
      <c r="J160" s="19">
        <v>5.4</v>
      </c>
      <c r="K160" s="19">
        <v>4.9000000000000004</v>
      </c>
      <c r="L160" s="19">
        <v>5.4</v>
      </c>
      <c r="M160" s="19">
        <v>5.8</v>
      </c>
      <c r="N160" s="19">
        <v>6.3</v>
      </c>
      <c r="O160" s="19">
        <v>6.5</v>
      </c>
      <c r="P160" s="14">
        <v>6.5</v>
      </c>
    </row>
    <row r="161" spans="1:16" ht="13.5" thickBot="1" x14ac:dyDescent="0.25">
      <c r="A161" s="13" t="s">
        <v>116</v>
      </c>
      <c r="B161" s="13" t="s">
        <v>110</v>
      </c>
      <c r="C161" s="13" t="s">
        <v>114</v>
      </c>
      <c r="D161" s="19">
        <v>796</v>
      </c>
      <c r="E161" s="19">
        <v>1027</v>
      </c>
      <c r="F161" s="19">
        <v>1342</v>
      </c>
      <c r="G161" s="19">
        <v>1686</v>
      </c>
      <c r="H161" s="19">
        <v>1856</v>
      </c>
      <c r="I161" s="19">
        <v>1988</v>
      </c>
      <c r="J161" s="19">
        <v>2043</v>
      </c>
      <c r="K161" s="19">
        <v>1915</v>
      </c>
      <c r="L161" s="19">
        <v>1590</v>
      </c>
      <c r="M161" s="19">
        <v>1275</v>
      </c>
      <c r="N161" s="19">
        <v>913</v>
      </c>
      <c r="O161" s="19">
        <v>747</v>
      </c>
      <c r="P161" s="14">
        <v>1432</v>
      </c>
    </row>
    <row r="162" spans="1:16" ht="13.5" thickBot="1" x14ac:dyDescent="0.25">
      <c r="A162" s="12" t="s">
        <v>116</v>
      </c>
      <c r="B162" s="16" t="s">
        <v>111</v>
      </c>
      <c r="C162" s="16" t="s">
        <v>115</v>
      </c>
      <c r="D162" s="16"/>
      <c r="E162" s="16"/>
      <c r="F162" s="16"/>
      <c r="G162" s="16"/>
      <c r="H162" s="16"/>
      <c r="I162" s="16"/>
      <c r="J162" s="16"/>
      <c r="K162" s="16"/>
      <c r="L162" s="16"/>
      <c r="M162" s="16"/>
      <c r="N162" s="16"/>
      <c r="O162" s="16"/>
      <c r="P162" s="17">
        <v>14.55</v>
      </c>
    </row>
    <row r="163" spans="1:16" x14ac:dyDescent="0.2">
      <c r="A163" s="44" t="s">
        <v>58</v>
      </c>
      <c r="B163" s="39" t="s">
        <v>107</v>
      </c>
      <c r="C163" s="39" t="s">
        <v>112</v>
      </c>
      <c r="D163" s="41">
        <v>31.8</v>
      </c>
      <c r="E163" s="41">
        <v>35.9</v>
      </c>
      <c r="F163" s="41">
        <v>42.1</v>
      </c>
      <c r="G163" s="41">
        <v>50.1</v>
      </c>
      <c r="H163" s="41">
        <v>60.9</v>
      </c>
      <c r="I163" s="41">
        <v>68.5</v>
      </c>
      <c r="J163" s="41">
        <v>71</v>
      </c>
      <c r="K163" s="41">
        <v>69.7</v>
      </c>
      <c r="L163" s="41">
        <v>62.7</v>
      </c>
      <c r="M163" s="41">
        <v>52.4</v>
      </c>
      <c r="N163" s="41">
        <v>39.799999999999997</v>
      </c>
      <c r="O163" s="41">
        <v>32.1</v>
      </c>
      <c r="P163" s="42">
        <v>51.4</v>
      </c>
    </row>
    <row r="164" spans="1:16" x14ac:dyDescent="0.2">
      <c r="A164" s="45" t="s">
        <v>58</v>
      </c>
      <c r="B164" s="13" t="s">
        <v>108</v>
      </c>
      <c r="C164" s="13" t="s">
        <v>112</v>
      </c>
      <c r="D164" s="19">
        <v>57.4</v>
      </c>
      <c r="E164" s="19">
        <v>62.2</v>
      </c>
      <c r="F164" s="19">
        <v>69.400000000000006</v>
      </c>
      <c r="G164" s="19">
        <v>78.400000000000006</v>
      </c>
      <c r="H164" s="19">
        <v>87.1</v>
      </c>
      <c r="I164" s="19">
        <v>93</v>
      </c>
      <c r="J164" s="19">
        <v>93.8</v>
      </c>
      <c r="K164" s="19">
        <v>92.4</v>
      </c>
      <c r="L164" s="19">
        <v>86</v>
      </c>
      <c r="M164" s="19">
        <v>77.5</v>
      </c>
      <c r="N164" s="19">
        <v>65.599999999999994</v>
      </c>
      <c r="O164" s="19">
        <v>58.1</v>
      </c>
      <c r="P164" s="15">
        <v>76.7</v>
      </c>
    </row>
    <row r="165" spans="1:16" ht="13.5" thickBot="1" x14ac:dyDescent="0.25">
      <c r="A165" s="45" t="s">
        <v>58</v>
      </c>
      <c r="B165" s="13" t="s">
        <v>109</v>
      </c>
      <c r="C165" s="13" t="s">
        <v>113</v>
      </c>
      <c r="D165" s="19">
        <v>10.1</v>
      </c>
      <c r="E165" s="19">
        <v>11</v>
      </c>
      <c r="F165" s="19">
        <v>12.1</v>
      </c>
      <c r="G165" s="19">
        <v>12.8</v>
      </c>
      <c r="H165" s="19">
        <v>12.3</v>
      </c>
      <c r="I165" s="19">
        <v>12.3</v>
      </c>
      <c r="J165" s="19">
        <v>10.7</v>
      </c>
      <c r="K165" s="19">
        <v>9.6</v>
      </c>
      <c r="L165" s="19">
        <v>9.6</v>
      </c>
      <c r="M165" s="19">
        <v>10.3</v>
      </c>
      <c r="N165" s="19">
        <v>9.8000000000000007</v>
      </c>
      <c r="O165" s="19">
        <v>9.8000000000000007</v>
      </c>
      <c r="P165" s="15">
        <v>11</v>
      </c>
    </row>
    <row r="166" spans="1:16" ht="13.5" thickBot="1" x14ac:dyDescent="0.25">
      <c r="A166" s="45" t="s">
        <v>58</v>
      </c>
      <c r="B166" s="13" t="s">
        <v>110</v>
      </c>
      <c r="C166" s="13" t="s">
        <v>114</v>
      </c>
      <c r="D166" s="19">
        <v>1015</v>
      </c>
      <c r="E166" s="19">
        <v>1294</v>
      </c>
      <c r="F166" s="19">
        <v>1695</v>
      </c>
      <c r="G166" s="19">
        <v>2089</v>
      </c>
      <c r="H166" s="19">
        <v>2226</v>
      </c>
      <c r="I166" s="19">
        <v>2365</v>
      </c>
      <c r="J166" s="19">
        <v>2272</v>
      </c>
      <c r="K166" s="19">
        <v>2073</v>
      </c>
      <c r="L166" s="19">
        <v>1776</v>
      </c>
      <c r="M166" s="19">
        <v>1458</v>
      </c>
      <c r="N166" s="19">
        <v>1140</v>
      </c>
      <c r="O166" s="19">
        <v>973</v>
      </c>
      <c r="P166" s="15">
        <v>1698</v>
      </c>
    </row>
    <row r="167" spans="1:16" ht="13.5" thickBot="1" x14ac:dyDescent="0.25">
      <c r="A167" s="46" t="s">
        <v>58</v>
      </c>
      <c r="B167" s="16" t="s">
        <v>111</v>
      </c>
      <c r="C167" s="16" t="s">
        <v>115</v>
      </c>
      <c r="D167" s="16"/>
      <c r="E167" s="16"/>
      <c r="F167" s="16"/>
      <c r="G167" s="16"/>
      <c r="H167" s="16"/>
      <c r="I167" s="16"/>
      <c r="J167" s="16"/>
      <c r="K167" s="16"/>
      <c r="L167" s="16"/>
      <c r="M167" s="16"/>
      <c r="N167" s="16"/>
      <c r="O167" s="16"/>
      <c r="P167" s="43">
        <v>13.26</v>
      </c>
    </row>
    <row r="168" spans="1:16" x14ac:dyDescent="0.2">
      <c r="A168" s="38" t="s">
        <v>59</v>
      </c>
      <c r="B168" s="39" t="s">
        <v>107</v>
      </c>
      <c r="C168" s="39" t="s">
        <v>112</v>
      </c>
      <c r="D168" s="39">
        <v>44.6</v>
      </c>
      <c r="E168" s="39">
        <v>47.7</v>
      </c>
      <c r="F168" s="39">
        <v>53.2</v>
      </c>
      <c r="G168" s="39">
        <v>60.1</v>
      </c>
      <c r="H168" s="39">
        <v>68</v>
      </c>
      <c r="I168" s="39">
        <v>73.5</v>
      </c>
      <c r="J168" s="39">
        <v>75</v>
      </c>
      <c r="K168" s="39">
        <v>74.7</v>
      </c>
      <c r="L168" s="39">
        <v>70.599999999999994</v>
      </c>
      <c r="M168" s="39">
        <v>61.5</v>
      </c>
      <c r="N168" s="39">
        <v>51.7</v>
      </c>
      <c r="O168" s="39">
        <v>45.7</v>
      </c>
      <c r="P168" s="40">
        <v>60.5</v>
      </c>
    </row>
    <row r="169" spans="1:16" x14ac:dyDescent="0.2">
      <c r="A169" s="13" t="s">
        <v>59</v>
      </c>
      <c r="B169" s="13" t="s">
        <v>108</v>
      </c>
      <c r="C169" s="13" t="s">
        <v>112</v>
      </c>
      <c r="D169" s="19">
        <v>61.9</v>
      </c>
      <c r="E169" s="19">
        <v>65.3</v>
      </c>
      <c r="F169" s="19">
        <v>71.2</v>
      </c>
      <c r="G169" s="19">
        <v>77.3</v>
      </c>
      <c r="H169" s="19">
        <v>84.3</v>
      </c>
      <c r="I169" s="19">
        <v>89.1</v>
      </c>
      <c r="J169" s="19">
        <v>91</v>
      </c>
      <c r="K169" s="19">
        <v>91.5</v>
      </c>
      <c r="L169" s="19">
        <v>87.8</v>
      </c>
      <c r="M169" s="19">
        <v>80.2</v>
      </c>
      <c r="N169" s="19">
        <v>70.5</v>
      </c>
      <c r="O169" s="19">
        <v>63.4</v>
      </c>
      <c r="P169" s="14">
        <v>77.8</v>
      </c>
    </row>
    <row r="170" spans="1:16" ht="13.5" thickBot="1" x14ac:dyDescent="0.25">
      <c r="A170" s="13" t="s">
        <v>59</v>
      </c>
      <c r="B170" s="13" t="s">
        <v>109</v>
      </c>
      <c r="C170" s="13" t="s">
        <v>113</v>
      </c>
      <c r="D170" s="19">
        <v>9.6</v>
      </c>
      <c r="E170" s="19">
        <v>10.1</v>
      </c>
      <c r="F170" s="19">
        <v>10.3</v>
      </c>
      <c r="G170" s="19">
        <v>10.3</v>
      </c>
      <c r="H170" s="19">
        <v>9.1999999999999993</v>
      </c>
      <c r="I170" s="19">
        <v>7.6</v>
      </c>
      <c r="J170" s="19">
        <v>6</v>
      </c>
      <c r="K170" s="19">
        <v>5.8</v>
      </c>
      <c r="L170" s="19">
        <v>7.2</v>
      </c>
      <c r="M170" s="19">
        <v>8.1</v>
      </c>
      <c r="N170" s="19">
        <v>8.5</v>
      </c>
      <c r="O170" s="19">
        <v>9.1999999999999993</v>
      </c>
      <c r="P170" s="14">
        <v>8.5</v>
      </c>
    </row>
    <row r="171" spans="1:16" ht="13.5" thickBot="1" x14ac:dyDescent="0.25">
      <c r="A171" s="13" t="s">
        <v>59</v>
      </c>
      <c r="B171" s="13" t="s">
        <v>110</v>
      </c>
      <c r="C171" s="13" t="s">
        <v>114</v>
      </c>
      <c r="D171" s="19">
        <v>824</v>
      </c>
      <c r="E171" s="19">
        <v>1017</v>
      </c>
      <c r="F171" s="19">
        <v>1355</v>
      </c>
      <c r="G171" s="19">
        <v>1646</v>
      </c>
      <c r="H171" s="19">
        <v>1868</v>
      </c>
      <c r="I171" s="19">
        <v>1931</v>
      </c>
      <c r="J171" s="19">
        <v>1918</v>
      </c>
      <c r="K171" s="19">
        <v>1801</v>
      </c>
      <c r="L171" s="19">
        <v>1552</v>
      </c>
      <c r="M171" s="19">
        <v>1300</v>
      </c>
      <c r="N171" s="19">
        <v>955</v>
      </c>
      <c r="O171" s="19">
        <v>773</v>
      </c>
      <c r="P171" s="14">
        <v>1412</v>
      </c>
    </row>
    <row r="172" spans="1:16" ht="13.5" thickBot="1" x14ac:dyDescent="0.25">
      <c r="A172" s="12" t="s">
        <v>59</v>
      </c>
      <c r="B172" s="16" t="s">
        <v>111</v>
      </c>
      <c r="C172" s="16" t="s">
        <v>115</v>
      </c>
      <c r="D172" s="16"/>
      <c r="E172" s="16"/>
      <c r="F172" s="16"/>
      <c r="G172" s="16"/>
      <c r="H172" s="16"/>
      <c r="I172" s="16"/>
      <c r="J172" s="16"/>
      <c r="K172" s="16"/>
      <c r="L172" s="16"/>
      <c r="M172" s="16"/>
      <c r="N172" s="16"/>
      <c r="O172" s="16"/>
      <c r="P172" s="17">
        <v>14.68</v>
      </c>
    </row>
    <row r="173" spans="1:16" x14ac:dyDescent="0.2">
      <c r="A173" s="38" t="s">
        <v>60</v>
      </c>
      <c r="B173" s="39" t="s">
        <v>107</v>
      </c>
      <c r="C173" s="39" t="s">
        <v>112</v>
      </c>
      <c r="D173" s="39">
        <v>34.4</v>
      </c>
      <c r="E173" s="39">
        <v>38</v>
      </c>
      <c r="F173" s="39">
        <v>45.2</v>
      </c>
      <c r="G173" s="39">
        <v>52.8</v>
      </c>
      <c r="H173" s="39">
        <v>62.8</v>
      </c>
      <c r="I173" s="39">
        <v>69.599999999999994</v>
      </c>
      <c r="J173" s="39">
        <v>72.099999999999994</v>
      </c>
      <c r="K173" s="39">
        <v>71.3</v>
      </c>
      <c r="L173" s="39">
        <v>64</v>
      </c>
      <c r="M173" s="39">
        <v>53.8</v>
      </c>
      <c r="N173" s="39">
        <v>42.7</v>
      </c>
      <c r="O173" s="39">
        <v>35.1</v>
      </c>
      <c r="P173" s="40">
        <v>53.5</v>
      </c>
    </row>
    <row r="174" spans="1:16" x14ac:dyDescent="0.2">
      <c r="A174" s="13" t="s">
        <v>60</v>
      </c>
      <c r="B174" s="13" t="s">
        <v>108</v>
      </c>
      <c r="C174" s="13" t="s">
        <v>112</v>
      </c>
      <c r="D174" s="19">
        <v>59.5</v>
      </c>
      <c r="E174" s="19">
        <v>63.7</v>
      </c>
      <c r="F174" s="19">
        <v>70.7</v>
      </c>
      <c r="G174" s="19">
        <v>79.5</v>
      </c>
      <c r="H174" s="19">
        <v>87.4</v>
      </c>
      <c r="I174" s="19">
        <v>92.4</v>
      </c>
      <c r="J174" s="19">
        <v>95.1</v>
      </c>
      <c r="K174" s="19">
        <v>94</v>
      </c>
      <c r="L174" s="19">
        <v>87.4</v>
      </c>
      <c r="M174" s="19">
        <v>78.599999999999994</v>
      </c>
      <c r="N174" s="19">
        <v>67.400000000000006</v>
      </c>
      <c r="O174" s="19">
        <v>60.5</v>
      </c>
      <c r="P174" s="14">
        <v>78</v>
      </c>
    </row>
    <row r="175" spans="1:16" ht="13.5" thickBot="1" x14ac:dyDescent="0.25">
      <c r="A175" s="13" t="s">
        <v>60</v>
      </c>
      <c r="B175" s="13" t="s">
        <v>109</v>
      </c>
      <c r="C175" s="13" t="s">
        <v>113</v>
      </c>
      <c r="D175" s="19">
        <v>9.6</v>
      </c>
      <c r="E175" s="19">
        <v>10.1</v>
      </c>
      <c r="F175" s="19">
        <v>10.7</v>
      </c>
      <c r="G175" s="19">
        <v>11.4</v>
      </c>
      <c r="H175" s="19">
        <v>10.5</v>
      </c>
      <c r="I175" s="19">
        <v>10.1</v>
      </c>
      <c r="J175" s="19">
        <v>9.1999999999999993</v>
      </c>
      <c r="K175" s="19">
        <v>8.1</v>
      </c>
      <c r="L175" s="19">
        <v>7.8</v>
      </c>
      <c r="M175" s="19">
        <v>8.5</v>
      </c>
      <c r="N175" s="19">
        <v>9.1999999999999993</v>
      </c>
      <c r="O175" s="19">
        <v>9.4</v>
      </c>
      <c r="P175" s="14">
        <v>9.6</v>
      </c>
    </row>
    <row r="176" spans="1:16" ht="13.5" thickBot="1" x14ac:dyDescent="0.25">
      <c r="A176" s="13" t="s">
        <v>60</v>
      </c>
      <c r="B176" s="13" t="s">
        <v>110</v>
      </c>
      <c r="C176" s="13" t="s">
        <v>114</v>
      </c>
      <c r="D176" s="19">
        <v>968</v>
      </c>
      <c r="E176" s="19">
        <v>1229</v>
      </c>
      <c r="F176" s="19">
        <v>1591</v>
      </c>
      <c r="G176" s="19">
        <v>1961</v>
      </c>
      <c r="H176" s="19">
        <v>2072</v>
      </c>
      <c r="I176" s="19">
        <v>2236</v>
      </c>
      <c r="J176" s="19">
        <v>2220</v>
      </c>
      <c r="K176" s="19">
        <v>2021</v>
      </c>
      <c r="L176" s="19">
        <v>1711</v>
      </c>
      <c r="M176" s="19">
        <v>1382</v>
      </c>
      <c r="N176" s="19">
        <v>1090</v>
      </c>
      <c r="O176" s="19">
        <v>921</v>
      </c>
      <c r="P176" s="14">
        <v>1617</v>
      </c>
    </row>
    <row r="177" spans="1:16" ht="13.5" thickBot="1" x14ac:dyDescent="0.25">
      <c r="A177" s="12" t="s">
        <v>60</v>
      </c>
      <c r="B177" s="16" t="s">
        <v>111</v>
      </c>
      <c r="C177" s="16" t="s">
        <v>115</v>
      </c>
      <c r="D177" s="16"/>
      <c r="E177" s="16"/>
      <c r="F177" s="16"/>
      <c r="G177" s="16"/>
      <c r="H177" s="16"/>
      <c r="I177" s="16"/>
      <c r="J177" s="16"/>
      <c r="K177" s="16"/>
      <c r="L177" s="16"/>
      <c r="M177" s="16"/>
      <c r="N177" s="16"/>
      <c r="O177" s="16"/>
      <c r="P177" s="17">
        <v>13.71</v>
      </c>
    </row>
    <row r="178" spans="1:16" x14ac:dyDescent="0.2">
      <c r="A178" s="38" t="s">
        <v>61</v>
      </c>
      <c r="B178" s="39" t="s">
        <v>107</v>
      </c>
      <c r="C178" s="39" t="s">
        <v>112</v>
      </c>
      <c r="D178" s="39">
        <v>42</v>
      </c>
      <c r="E178" s="39">
        <v>45.8</v>
      </c>
      <c r="F178" s="39">
        <v>51.8</v>
      </c>
      <c r="G178" s="39">
        <v>59.1</v>
      </c>
      <c r="H178" s="39">
        <v>67.599999999999994</v>
      </c>
      <c r="I178" s="39">
        <v>73.2</v>
      </c>
      <c r="J178" s="39">
        <v>75.2</v>
      </c>
      <c r="K178" s="39">
        <v>75.3</v>
      </c>
      <c r="L178" s="39">
        <v>69.8</v>
      </c>
      <c r="M178" s="39">
        <v>60.8</v>
      </c>
      <c r="N178" s="39">
        <v>50.5</v>
      </c>
      <c r="O178" s="39">
        <v>43.1</v>
      </c>
      <c r="P178" s="40">
        <v>59.5</v>
      </c>
    </row>
    <row r="179" spans="1:16" x14ac:dyDescent="0.2">
      <c r="A179" s="13" t="s">
        <v>61</v>
      </c>
      <c r="B179" s="13" t="s">
        <v>108</v>
      </c>
      <c r="C179" s="13" t="s">
        <v>112</v>
      </c>
      <c r="D179" s="19">
        <v>62.9</v>
      </c>
      <c r="E179" s="19">
        <v>67.2</v>
      </c>
      <c r="F179" s="19">
        <v>73.099999999999994</v>
      </c>
      <c r="G179" s="19">
        <v>79.900000000000006</v>
      </c>
      <c r="H179" s="19">
        <v>86.6</v>
      </c>
      <c r="I179" s="19">
        <v>91.9</v>
      </c>
      <c r="J179" s="19">
        <v>94</v>
      </c>
      <c r="K179" s="19">
        <v>95</v>
      </c>
      <c r="L179" s="19">
        <v>89.5</v>
      </c>
      <c r="M179" s="19">
        <v>81.599999999999994</v>
      </c>
      <c r="N179" s="19">
        <v>71.3</v>
      </c>
      <c r="O179" s="19">
        <v>64.3</v>
      </c>
      <c r="P179" s="14">
        <v>79.8</v>
      </c>
    </row>
    <row r="180" spans="1:16" ht="13.5" thickBot="1" x14ac:dyDescent="0.25">
      <c r="A180" s="13" t="s">
        <v>61</v>
      </c>
      <c r="B180" s="13" t="s">
        <v>109</v>
      </c>
      <c r="C180" s="13" t="s">
        <v>113</v>
      </c>
      <c r="D180" s="19">
        <v>7.6</v>
      </c>
      <c r="E180" s="19">
        <v>7.8</v>
      </c>
      <c r="F180" s="19">
        <v>8.9</v>
      </c>
      <c r="G180" s="19">
        <v>9.4</v>
      </c>
      <c r="H180" s="19">
        <v>9.4</v>
      </c>
      <c r="I180" s="19">
        <v>9.1999999999999993</v>
      </c>
      <c r="J180" s="19">
        <v>8.5</v>
      </c>
      <c r="K180" s="19">
        <v>7.8</v>
      </c>
      <c r="L180" s="19">
        <v>6.9</v>
      </c>
      <c r="M180" s="19">
        <v>7.4</v>
      </c>
      <c r="N180" s="19">
        <v>7.6</v>
      </c>
      <c r="O180" s="19">
        <v>7.4</v>
      </c>
      <c r="P180" s="14">
        <v>8.1</v>
      </c>
    </row>
    <row r="181" spans="1:16" ht="13.5" thickBot="1" x14ac:dyDescent="0.25">
      <c r="A181" s="13" t="s">
        <v>61</v>
      </c>
      <c r="B181" s="13" t="s">
        <v>110</v>
      </c>
      <c r="C181" s="13" t="s">
        <v>114</v>
      </c>
      <c r="D181" s="19">
        <v>893</v>
      </c>
      <c r="E181" s="19">
        <v>1083</v>
      </c>
      <c r="F181" s="19">
        <v>1377</v>
      </c>
      <c r="G181" s="19">
        <v>1682</v>
      </c>
      <c r="H181" s="19">
        <v>1821</v>
      </c>
      <c r="I181" s="19">
        <v>2059</v>
      </c>
      <c r="J181" s="19">
        <v>2081</v>
      </c>
      <c r="K181" s="19">
        <v>1961</v>
      </c>
      <c r="L181" s="19">
        <v>1640</v>
      </c>
      <c r="M181" s="19">
        <v>1323</v>
      </c>
      <c r="N181" s="19">
        <v>985</v>
      </c>
      <c r="O181" s="19">
        <v>825</v>
      </c>
      <c r="P181" s="14">
        <v>1477</v>
      </c>
    </row>
    <row r="182" spans="1:16" ht="13.5" thickBot="1" x14ac:dyDescent="0.25">
      <c r="A182" s="12" t="s">
        <v>61</v>
      </c>
      <c r="B182" s="16" t="s">
        <v>111</v>
      </c>
      <c r="C182" s="16" t="s">
        <v>115</v>
      </c>
      <c r="D182" s="16"/>
      <c r="E182" s="16"/>
      <c r="F182" s="16"/>
      <c r="G182" s="16"/>
      <c r="H182" s="16"/>
      <c r="I182" s="16"/>
      <c r="J182" s="16"/>
      <c r="K182" s="16"/>
      <c r="L182" s="16"/>
      <c r="M182" s="16"/>
      <c r="N182" s="16"/>
      <c r="O182" s="16"/>
      <c r="P182" s="17">
        <v>14.27</v>
      </c>
    </row>
    <row r="183" spans="1:16" x14ac:dyDescent="0.2">
      <c r="A183" s="12" t="s">
        <v>380</v>
      </c>
      <c r="B183" s="39" t="s">
        <v>107</v>
      </c>
      <c r="C183" s="39" t="s">
        <v>112</v>
      </c>
      <c r="D183" s="13">
        <v>38.200000000000003</v>
      </c>
      <c r="E183" s="13">
        <v>41.3</v>
      </c>
      <c r="F183" s="13">
        <v>47.8</v>
      </c>
      <c r="G183" s="13">
        <v>54.9</v>
      </c>
      <c r="H183" s="13">
        <v>64.3</v>
      </c>
      <c r="I183" s="13">
        <v>70.900000000000006</v>
      </c>
      <c r="J183" s="13">
        <v>74</v>
      </c>
      <c r="K183" s="13">
        <v>73.400000000000006</v>
      </c>
      <c r="L183" s="13">
        <v>67.2</v>
      </c>
      <c r="M183" s="13">
        <v>56.1</v>
      </c>
      <c r="N183" s="13">
        <v>46</v>
      </c>
      <c r="O183" s="13">
        <v>39.200000000000003</v>
      </c>
      <c r="P183" s="14">
        <v>56.1</v>
      </c>
    </row>
    <row r="184" spans="1:16" x14ac:dyDescent="0.2">
      <c r="A184" s="12" t="s">
        <v>380</v>
      </c>
      <c r="B184" s="13" t="s">
        <v>108</v>
      </c>
      <c r="C184" s="13" t="s">
        <v>112</v>
      </c>
      <c r="D184" s="13">
        <v>57.2</v>
      </c>
      <c r="E184" s="13">
        <v>64.400000000000006</v>
      </c>
      <c r="F184" s="13">
        <v>68.5</v>
      </c>
      <c r="G184" s="13">
        <v>76.099999999999994</v>
      </c>
      <c r="H184" s="13">
        <v>83.3</v>
      </c>
      <c r="I184" s="13">
        <v>89.6</v>
      </c>
      <c r="J184" s="13">
        <v>92.9</v>
      </c>
      <c r="K184" s="13">
        <v>93.3</v>
      </c>
      <c r="L184" s="13">
        <v>87.6</v>
      </c>
      <c r="M184" s="13">
        <v>77.8</v>
      </c>
      <c r="N184" s="13">
        <v>66.5</v>
      </c>
      <c r="O184" s="13">
        <v>58.4</v>
      </c>
      <c r="P184" s="14">
        <v>76</v>
      </c>
    </row>
    <row r="185" spans="1:16" x14ac:dyDescent="0.2">
      <c r="A185" s="12" t="s">
        <v>380</v>
      </c>
      <c r="B185" s="13" t="s">
        <v>109</v>
      </c>
      <c r="C185" s="13" t="s">
        <v>113</v>
      </c>
      <c r="D185" s="13">
        <v>8.3000000000000007</v>
      </c>
      <c r="E185" s="13">
        <v>8.3000000000000007</v>
      </c>
      <c r="F185" s="13">
        <v>8.9</v>
      </c>
      <c r="G185" s="13">
        <v>8.6999999999999993</v>
      </c>
      <c r="H185" s="13">
        <v>7.6</v>
      </c>
      <c r="I185" s="13">
        <v>6.5</v>
      </c>
      <c r="J185" s="13">
        <v>6</v>
      </c>
      <c r="K185" s="13">
        <v>5.4</v>
      </c>
      <c r="L185" s="13">
        <v>6.3</v>
      </c>
      <c r="M185" s="13">
        <v>6.3</v>
      </c>
      <c r="N185" s="13">
        <v>7.2</v>
      </c>
      <c r="O185" s="13">
        <v>7.8</v>
      </c>
      <c r="P185" s="14">
        <v>7.2</v>
      </c>
    </row>
    <row r="186" spans="1:16" x14ac:dyDescent="0.2">
      <c r="A186" s="12" t="s">
        <v>380</v>
      </c>
      <c r="B186" s="13" t="s">
        <v>110</v>
      </c>
      <c r="C186" s="13" t="s">
        <v>114</v>
      </c>
      <c r="D186" s="13">
        <v>783</v>
      </c>
      <c r="E186" s="13">
        <v>1001</v>
      </c>
      <c r="F186" s="13">
        <v>1342</v>
      </c>
      <c r="G186" s="13">
        <v>1709</v>
      </c>
      <c r="H186" s="13">
        <v>1837</v>
      </c>
      <c r="I186" s="13">
        <v>2007</v>
      </c>
      <c r="J186" s="13">
        <v>2049</v>
      </c>
      <c r="K186" s="13">
        <v>1915</v>
      </c>
      <c r="L186" s="13">
        <v>1575</v>
      </c>
      <c r="M186" s="13">
        <v>1251</v>
      </c>
      <c r="N186" s="13">
        <v>884</v>
      </c>
      <c r="O186" s="13">
        <v>732</v>
      </c>
      <c r="P186" s="14">
        <v>1424</v>
      </c>
    </row>
    <row r="187" spans="1:16" ht="13.5" thickBot="1" x14ac:dyDescent="0.25">
      <c r="A187" s="12" t="s">
        <v>380</v>
      </c>
      <c r="B187" s="16" t="s">
        <v>111</v>
      </c>
      <c r="C187" s="16" t="s">
        <v>115</v>
      </c>
      <c r="D187" s="13">
        <v>14.56</v>
      </c>
      <c r="E187" s="13"/>
      <c r="F187" s="13"/>
      <c r="G187" s="13"/>
      <c r="H187" s="13"/>
      <c r="I187" s="13"/>
      <c r="J187" s="13"/>
      <c r="K187" s="13"/>
      <c r="L187" s="13"/>
      <c r="M187" s="13"/>
      <c r="N187" s="13"/>
      <c r="O187" s="13"/>
      <c r="P187" s="14"/>
    </row>
    <row r="188" spans="1:16" x14ac:dyDescent="0.2">
      <c r="A188" s="38" t="s">
        <v>62</v>
      </c>
      <c r="B188" s="39" t="s">
        <v>107</v>
      </c>
      <c r="C188" s="39" t="s">
        <v>112</v>
      </c>
      <c r="D188" s="39">
        <v>44.5</v>
      </c>
      <c r="E188" s="39">
        <v>48</v>
      </c>
      <c r="F188" s="39">
        <v>53.7</v>
      </c>
      <c r="G188" s="39">
        <v>60.5</v>
      </c>
      <c r="H188" s="39">
        <v>68.3</v>
      </c>
      <c r="I188" s="39">
        <v>73.3</v>
      </c>
      <c r="J188" s="39">
        <v>74.8</v>
      </c>
      <c r="K188" s="39">
        <v>74.400000000000006</v>
      </c>
      <c r="L188" s="39">
        <v>70.099999999999994</v>
      </c>
      <c r="M188" s="39">
        <v>61.6</v>
      </c>
      <c r="N188" s="39">
        <v>51.9</v>
      </c>
      <c r="O188" s="39">
        <v>45.5</v>
      </c>
      <c r="P188" s="40">
        <v>60.5</v>
      </c>
    </row>
    <row r="189" spans="1:16" x14ac:dyDescent="0.2">
      <c r="A189" s="13" t="s">
        <v>62</v>
      </c>
      <c r="B189" s="13" t="s">
        <v>108</v>
      </c>
      <c r="C189" s="13" t="s">
        <v>112</v>
      </c>
      <c r="D189" s="19">
        <v>64.599999999999994</v>
      </c>
      <c r="E189" s="19">
        <v>68.2</v>
      </c>
      <c r="F189" s="19">
        <v>73.5</v>
      </c>
      <c r="G189" s="19">
        <v>79.599999999999994</v>
      </c>
      <c r="H189" s="19">
        <v>86.1</v>
      </c>
      <c r="I189" s="19">
        <v>91</v>
      </c>
      <c r="J189" s="19">
        <v>93.1</v>
      </c>
      <c r="K189" s="19">
        <v>94</v>
      </c>
      <c r="L189" s="19">
        <v>89.5</v>
      </c>
      <c r="M189" s="19">
        <v>82.7</v>
      </c>
      <c r="N189" s="19">
        <v>73.099999999999994</v>
      </c>
      <c r="O189" s="19">
        <v>66.099999999999994</v>
      </c>
      <c r="P189" s="14">
        <v>80.099999999999994</v>
      </c>
    </row>
    <row r="190" spans="1:16" ht="13.5" thickBot="1" x14ac:dyDescent="0.25">
      <c r="A190" s="13" t="s">
        <v>62</v>
      </c>
      <c r="B190" s="13" t="s">
        <v>109</v>
      </c>
      <c r="C190" s="13" t="s">
        <v>113</v>
      </c>
      <c r="D190" s="19">
        <v>9.8000000000000007</v>
      </c>
      <c r="E190" s="19">
        <v>10.1</v>
      </c>
      <c r="F190" s="19">
        <v>10.5</v>
      </c>
      <c r="G190" s="19">
        <v>11</v>
      </c>
      <c r="H190" s="19">
        <v>10.3</v>
      </c>
      <c r="I190" s="19">
        <v>9.1999999999999993</v>
      </c>
      <c r="J190" s="19">
        <v>8.3000000000000007</v>
      </c>
      <c r="K190" s="19">
        <v>7.4</v>
      </c>
      <c r="L190" s="19">
        <v>7.4</v>
      </c>
      <c r="M190" s="19">
        <v>8.3000000000000007</v>
      </c>
      <c r="N190" s="19">
        <v>8.6999999999999993</v>
      </c>
      <c r="O190" s="19">
        <v>9.1999999999999993</v>
      </c>
      <c r="P190" s="14">
        <v>9.1999999999999993</v>
      </c>
    </row>
    <row r="191" spans="1:16" ht="13.5" thickBot="1" x14ac:dyDescent="0.25">
      <c r="A191" s="13" t="s">
        <v>62</v>
      </c>
      <c r="B191" s="13" t="s">
        <v>110</v>
      </c>
      <c r="C191" s="13" t="s">
        <v>114</v>
      </c>
      <c r="D191" s="19">
        <v>849</v>
      </c>
      <c r="E191" s="19">
        <v>1038</v>
      </c>
      <c r="F191" s="19">
        <v>1328</v>
      </c>
      <c r="G191" s="19">
        <v>1597</v>
      </c>
      <c r="H191" s="19">
        <v>1823</v>
      </c>
      <c r="I191" s="19">
        <v>2009</v>
      </c>
      <c r="J191" s="19">
        <v>2029</v>
      </c>
      <c r="K191" s="19">
        <v>1887</v>
      </c>
      <c r="L191" s="19">
        <v>1596</v>
      </c>
      <c r="M191" s="19">
        <v>1328</v>
      </c>
      <c r="N191" s="19">
        <v>989</v>
      </c>
      <c r="O191" s="19">
        <v>801</v>
      </c>
      <c r="P191" s="14">
        <v>1439</v>
      </c>
    </row>
    <row r="192" spans="1:16" ht="13.5" thickBot="1" x14ac:dyDescent="0.25">
      <c r="A192" s="12" t="s">
        <v>62</v>
      </c>
      <c r="B192" s="16" t="s">
        <v>111</v>
      </c>
      <c r="C192" s="16" t="s">
        <v>115</v>
      </c>
      <c r="D192" s="16"/>
      <c r="E192" s="16"/>
      <c r="F192" s="16"/>
      <c r="G192" s="16"/>
      <c r="H192" s="16"/>
      <c r="I192" s="16"/>
      <c r="J192" s="16"/>
      <c r="K192" s="16"/>
      <c r="L192" s="16"/>
      <c r="M192" s="16"/>
      <c r="N192" s="16"/>
      <c r="O192" s="16"/>
      <c r="P192" s="17">
        <v>14.63</v>
      </c>
    </row>
    <row r="193" spans="1:16" x14ac:dyDescent="0.2">
      <c r="A193" s="38" t="s">
        <v>63</v>
      </c>
      <c r="B193" s="39" t="s">
        <v>107</v>
      </c>
      <c r="C193" s="39" t="s">
        <v>112</v>
      </c>
      <c r="D193" s="39">
        <v>37.6</v>
      </c>
      <c r="E193" s="39">
        <v>41.3</v>
      </c>
      <c r="F193" s="39">
        <v>48.1</v>
      </c>
      <c r="G193" s="39">
        <v>55.7</v>
      </c>
      <c r="H193" s="39">
        <v>64.7</v>
      </c>
      <c r="I193" s="39">
        <v>71.7</v>
      </c>
      <c r="J193" s="39">
        <v>75</v>
      </c>
      <c r="K193" s="39">
        <v>74.400000000000006</v>
      </c>
      <c r="L193" s="39">
        <v>67.3</v>
      </c>
      <c r="M193" s="39">
        <v>57.2</v>
      </c>
      <c r="N193" s="39">
        <v>46.9</v>
      </c>
      <c r="O193" s="39">
        <v>39</v>
      </c>
      <c r="P193" s="40">
        <v>56.6</v>
      </c>
    </row>
    <row r="194" spans="1:16" x14ac:dyDescent="0.2">
      <c r="A194" s="13" t="s">
        <v>63</v>
      </c>
      <c r="B194" s="13" t="s">
        <v>108</v>
      </c>
      <c r="C194" s="13" t="s">
        <v>112</v>
      </c>
      <c r="D194" s="19">
        <v>58.4</v>
      </c>
      <c r="E194" s="19">
        <v>62.4</v>
      </c>
      <c r="F194" s="19">
        <v>69.2</v>
      </c>
      <c r="G194" s="19">
        <v>77.099999999999994</v>
      </c>
      <c r="H194" s="19">
        <v>84.7</v>
      </c>
      <c r="I194" s="19">
        <v>91.5</v>
      </c>
      <c r="J194" s="19">
        <v>95.8</v>
      </c>
      <c r="K194" s="19">
        <v>96</v>
      </c>
      <c r="L194" s="19">
        <v>89.4</v>
      </c>
      <c r="M194" s="19">
        <v>79.8</v>
      </c>
      <c r="N194" s="19">
        <v>68</v>
      </c>
      <c r="O194" s="19">
        <v>59.7</v>
      </c>
      <c r="P194" s="14">
        <v>77.7</v>
      </c>
    </row>
    <row r="195" spans="1:16" ht="13.5" thickBot="1" x14ac:dyDescent="0.25">
      <c r="A195" s="13" t="s">
        <v>63</v>
      </c>
      <c r="B195" s="13" t="s">
        <v>109</v>
      </c>
      <c r="C195" s="13" t="s">
        <v>113</v>
      </c>
      <c r="D195" s="19">
        <v>9.8000000000000007</v>
      </c>
      <c r="E195" s="19">
        <v>10.1</v>
      </c>
      <c r="F195" s="19">
        <v>11</v>
      </c>
      <c r="G195" s="19">
        <v>11.2</v>
      </c>
      <c r="H195" s="19">
        <v>10.1</v>
      </c>
      <c r="I195" s="19">
        <v>9.6</v>
      </c>
      <c r="J195" s="19">
        <v>9.6</v>
      </c>
      <c r="K195" s="19">
        <v>8.5</v>
      </c>
      <c r="L195" s="19">
        <v>7.8</v>
      </c>
      <c r="M195" s="19">
        <v>8.6999999999999993</v>
      </c>
      <c r="N195" s="19">
        <v>9.4</v>
      </c>
      <c r="O195" s="19">
        <v>9.4</v>
      </c>
      <c r="P195" s="14">
        <v>9.6</v>
      </c>
    </row>
    <row r="196" spans="1:16" ht="13.5" thickBot="1" x14ac:dyDescent="0.25">
      <c r="A196" s="13" t="s">
        <v>63</v>
      </c>
      <c r="B196" s="13" t="s">
        <v>110</v>
      </c>
      <c r="C196" s="13" t="s">
        <v>114</v>
      </c>
      <c r="D196" s="19">
        <v>864</v>
      </c>
      <c r="E196" s="19">
        <v>1081</v>
      </c>
      <c r="F196" s="19">
        <v>1387</v>
      </c>
      <c r="G196" s="19">
        <v>1732</v>
      </c>
      <c r="H196" s="19">
        <v>1890</v>
      </c>
      <c r="I196" s="19">
        <v>2135</v>
      </c>
      <c r="J196" s="19">
        <v>2198</v>
      </c>
      <c r="K196" s="19">
        <v>2022</v>
      </c>
      <c r="L196" s="19">
        <v>1674</v>
      </c>
      <c r="M196" s="19">
        <v>1302</v>
      </c>
      <c r="N196" s="19">
        <v>958</v>
      </c>
      <c r="O196" s="19">
        <v>823</v>
      </c>
      <c r="P196" s="14">
        <v>1505</v>
      </c>
    </row>
    <row r="197" spans="1:16" ht="13.5" thickBot="1" x14ac:dyDescent="0.25">
      <c r="A197" s="12" t="s">
        <v>63</v>
      </c>
      <c r="B197" s="16" t="s">
        <v>111</v>
      </c>
      <c r="C197" s="16" t="s">
        <v>115</v>
      </c>
      <c r="D197" s="16"/>
      <c r="E197" s="16"/>
      <c r="F197" s="16"/>
      <c r="G197" s="16"/>
      <c r="H197" s="16"/>
      <c r="I197" s="16"/>
      <c r="J197" s="16"/>
      <c r="K197" s="16"/>
      <c r="L197" s="16"/>
      <c r="M197" s="16"/>
      <c r="N197" s="16"/>
      <c r="O197" s="16"/>
      <c r="P197" s="17">
        <v>14.43</v>
      </c>
    </row>
    <row r="198" spans="1:16" x14ac:dyDescent="0.2">
      <c r="A198" s="47" t="s">
        <v>64</v>
      </c>
      <c r="B198" s="39" t="s">
        <v>107</v>
      </c>
      <c r="C198" s="39" t="s">
        <v>112</v>
      </c>
      <c r="D198" s="39">
        <v>29.8</v>
      </c>
      <c r="E198" s="39">
        <v>33.5</v>
      </c>
      <c r="F198" s="39">
        <v>41.2</v>
      </c>
      <c r="G198" s="39">
        <v>49.4</v>
      </c>
      <c r="H198" s="39">
        <v>59.6</v>
      </c>
      <c r="I198" s="39">
        <v>67.599999999999994</v>
      </c>
      <c r="J198" s="39">
        <v>71.900000000000006</v>
      </c>
      <c r="K198" s="39">
        <v>71.400000000000006</v>
      </c>
      <c r="L198" s="39">
        <v>63.3</v>
      </c>
      <c r="M198" s="39">
        <v>52</v>
      </c>
      <c r="N198" s="39">
        <v>40.299999999999997</v>
      </c>
      <c r="O198" s="39">
        <v>30.8</v>
      </c>
      <c r="P198" s="40">
        <v>51</v>
      </c>
    </row>
    <row r="199" spans="1:16" x14ac:dyDescent="0.2">
      <c r="A199" s="48" t="s">
        <v>64</v>
      </c>
      <c r="B199" s="13" t="s">
        <v>108</v>
      </c>
      <c r="C199" s="13" t="s">
        <v>112</v>
      </c>
      <c r="D199" s="19">
        <v>54.2</v>
      </c>
      <c r="E199" s="19">
        <v>58.3</v>
      </c>
      <c r="F199" s="19">
        <v>67</v>
      </c>
      <c r="G199" s="19">
        <v>75.8</v>
      </c>
      <c r="H199" s="19">
        <v>83.6</v>
      </c>
      <c r="I199" s="19">
        <v>91.4</v>
      </c>
      <c r="J199" s="19">
        <v>96.9</v>
      </c>
      <c r="K199" s="19">
        <v>96.6</v>
      </c>
      <c r="L199" s="19">
        <v>88.1</v>
      </c>
      <c r="M199" s="19">
        <v>77</v>
      </c>
      <c r="N199" s="19">
        <v>65.099999999999994</v>
      </c>
      <c r="O199" s="19">
        <v>54.7</v>
      </c>
      <c r="P199" s="14">
        <v>75.7</v>
      </c>
    </row>
    <row r="200" spans="1:16" x14ac:dyDescent="0.2">
      <c r="A200" s="48" t="s">
        <v>64</v>
      </c>
      <c r="B200" s="13" t="s">
        <v>109</v>
      </c>
      <c r="C200" s="13" t="s">
        <v>113</v>
      </c>
      <c r="D200" s="19">
        <v>10.9</v>
      </c>
      <c r="E200" s="19">
        <v>11.5</v>
      </c>
      <c r="F200" s="19">
        <v>12.5</v>
      </c>
      <c r="G200" s="19">
        <v>12.8</v>
      </c>
      <c r="H200" s="19">
        <v>12.2</v>
      </c>
      <c r="I200" s="19">
        <v>11.7</v>
      </c>
      <c r="J200" s="19">
        <v>10.7</v>
      </c>
      <c r="K200" s="19">
        <v>9.6999999999999993</v>
      </c>
      <c r="L200" s="19">
        <v>9.6999999999999993</v>
      </c>
      <c r="M200" s="19">
        <v>10.7</v>
      </c>
      <c r="N200" s="19">
        <v>11.1</v>
      </c>
      <c r="O200" s="19">
        <v>10.6</v>
      </c>
      <c r="P200" s="14">
        <v>11.2</v>
      </c>
    </row>
    <row r="201" spans="1:16" x14ac:dyDescent="0.2">
      <c r="A201" s="48" t="s">
        <v>64</v>
      </c>
      <c r="B201" s="13" t="s">
        <v>110</v>
      </c>
      <c r="C201" s="13" t="s">
        <v>114</v>
      </c>
      <c r="D201" s="50">
        <v>930.27594746868306</v>
      </c>
      <c r="E201" s="50">
        <v>1160.7312725693994</v>
      </c>
      <c r="F201" s="50">
        <v>1481.3151869399767</v>
      </c>
      <c r="G201" s="50">
        <v>1881.7363253471649</v>
      </c>
      <c r="H201" s="50">
        <v>2023.1875945340985</v>
      </c>
      <c r="I201" s="50">
        <v>2174.1906557869761</v>
      </c>
      <c r="J201" s="50">
        <v>2247.2684607975061</v>
      </c>
      <c r="K201" s="50">
        <v>2025.050076052911</v>
      </c>
      <c r="L201" s="50">
        <v>1687.826618171244</v>
      </c>
      <c r="M201" s="50">
        <v>1274.8054162186386</v>
      </c>
      <c r="N201" s="50">
        <v>1004.8168771990538</v>
      </c>
      <c r="O201" s="50">
        <v>854.07920284500574</v>
      </c>
      <c r="P201" s="124">
        <v>1564</v>
      </c>
    </row>
    <row r="202" spans="1:16" ht="13.5" thickBot="1" x14ac:dyDescent="0.25">
      <c r="A202" s="49" t="s">
        <v>64</v>
      </c>
      <c r="B202" s="16" t="s">
        <v>111</v>
      </c>
      <c r="C202" s="16" t="s">
        <v>115</v>
      </c>
      <c r="D202" s="16"/>
      <c r="E202" s="16"/>
      <c r="F202" s="16"/>
      <c r="G202" s="16"/>
      <c r="H202" s="16"/>
      <c r="I202" s="16"/>
      <c r="J202" s="16"/>
      <c r="K202" s="16"/>
      <c r="L202" s="16"/>
      <c r="M202" s="16"/>
      <c r="N202" s="16"/>
      <c r="O202" s="16"/>
      <c r="P202" s="17">
        <v>14.7</v>
      </c>
    </row>
    <row r="203" spans="1:16" x14ac:dyDescent="0.2">
      <c r="A203" s="28" t="s">
        <v>53</v>
      </c>
      <c r="B203" s="39" t="s">
        <v>107</v>
      </c>
      <c r="C203" s="39" t="s">
        <v>112</v>
      </c>
      <c r="D203" s="39">
        <v>40.6</v>
      </c>
      <c r="E203" s="39">
        <v>45</v>
      </c>
      <c r="F203" s="39">
        <v>52.1</v>
      </c>
      <c r="G203" s="39">
        <v>59.6</v>
      </c>
      <c r="H203" s="39">
        <v>67.900000000000006</v>
      </c>
      <c r="I203" s="39">
        <v>73.400000000000006</v>
      </c>
      <c r="J203" s="39">
        <v>75.2</v>
      </c>
      <c r="K203" s="39">
        <v>75.3</v>
      </c>
      <c r="L203" s="39">
        <v>69.8</v>
      </c>
      <c r="M203" s="39">
        <v>61</v>
      </c>
      <c r="N203" s="39">
        <v>49.6</v>
      </c>
      <c r="O203" s="39">
        <v>40.799999999999997</v>
      </c>
      <c r="P203" s="40">
        <v>59.2</v>
      </c>
    </row>
    <row r="204" spans="1:16" x14ac:dyDescent="0.2">
      <c r="A204" s="36" t="s">
        <v>53</v>
      </c>
      <c r="B204" s="13" t="s">
        <v>108</v>
      </c>
      <c r="C204" s="13" t="s">
        <v>112</v>
      </c>
      <c r="D204" s="19">
        <v>63.8</v>
      </c>
      <c r="E204" s="19">
        <v>68.599999999999994</v>
      </c>
      <c r="F204" s="19">
        <v>76.2</v>
      </c>
      <c r="G204" s="19">
        <v>83.6</v>
      </c>
      <c r="H204" s="19">
        <v>89.8</v>
      </c>
      <c r="I204" s="19">
        <v>94.7</v>
      </c>
      <c r="J204" s="19">
        <v>96.6</v>
      </c>
      <c r="K204" s="19">
        <v>97.1</v>
      </c>
      <c r="L204" s="19">
        <v>90.8</v>
      </c>
      <c r="M204" s="19">
        <v>82.4</v>
      </c>
      <c r="N204" s="19">
        <v>72</v>
      </c>
      <c r="O204" s="19">
        <v>64</v>
      </c>
      <c r="P204" s="14">
        <v>81.599999999999994</v>
      </c>
    </row>
    <row r="205" spans="1:16" ht="13.5" thickBot="1" x14ac:dyDescent="0.25">
      <c r="A205" s="36" t="s">
        <v>53</v>
      </c>
      <c r="B205" s="13" t="s">
        <v>109</v>
      </c>
      <c r="C205" s="13" t="s">
        <v>113</v>
      </c>
      <c r="D205" s="19">
        <v>7.2</v>
      </c>
      <c r="E205" s="19">
        <v>8.1999999999999993</v>
      </c>
      <c r="F205" s="19">
        <v>9.4</v>
      </c>
      <c r="G205" s="19">
        <v>10.199999999999999</v>
      </c>
      <c r="H205" s="19">
        <v>10.3</v>
      </c>
      <c r="I205" s="19">
        <v>10.6</v>
      </c>
      <c r="J205" s="19">
        <v>9.9</v>
      </c>
      <c r="K205" s="19">
        <v>8.8000000000000007</v>
      </c>
      <c r="L205" s="19">
        <v>7.7</v>
      </c>
      <c r="M205" s="19">
        <v>8</v>
      </c>
      <c r="N205" s="19">
        <v>7.3</v>
      </c>
      <c r="O205" s="19">
        <v>7</v>
      </c>
      <c r="P205" s="14">
        <v>8.6999999999999993</v>
      </c>
    </row>
    <row r="206" spans="1:16" ht="13.5" thickBot="1" x14ac:dyDescent="0.25">
      <c r="A206" s="36" t="s">
        <v>53</v>
      </c>
      <c r="B206" s="13" t="s">
        <v>110</v>
      </c>
      <c r="C206" s="13" t="s">
        <v>114</v>
      </c>
      <c r="D206" s="125">
        <v>1058.0417535842278</v>
      </c>
      <c r="E206" s="125">
        <v>1315.7849884362345</v>
      </c>
      <c r="F206" s="125">
        <v>1618.6398408098103</v>
      </c>
      <c r="G206" s="125">
        <v>1905.6436379918928</v>
      </c>
      <c r="H206" s="125">
        <v>2055.9077341229431</v>
      </c>
      <c r="I206" s="125">
        <v>2187.3471280671292</v>
      </c>
      <c r="J206" s="125">
        <v>2207.3072874104087</v>
      </c>
      <c r="K206" s="125">
        <v>2046.1800806731517</v>
      </c>
      <c r="L206" s="125">
        <v>1757.6498306713106</v>
      </c>
      <c r="M206" s="125">
        <v>1383.9411344646041</v>
      </c>
      <c r="N206" s="125">
        <v>1107.9311435184945</v>
      </c>
      <c r="O206" s="125">
        <v>983.30967820343494</v>
      </c>
      <c r="P206" s="124">
        <v>1637</v>
      </c>
    </row>
    <row r="207" spans="1:16" ht="13.5" thickBot="1" x14ac:dyDescent="0.25">
      <c r="A207" s="34" t="s">
        <v>53</v>
      </c>
      <c r="B207" s="16" t="s">
        <v>111</v>
      </c>
      <c r="C207" s="16" t="s">
        <v>115</v>
      </c>
      <c r="D207" s="16"/>
      <c r="E207" s="16"/>
      <c r="F207" s="16"/>
      <c r="G207" s="16"/>
      <c r="H207" s="16"/>
      <c r="I207" s="16"/>
      <c r="J207" s="16"/>
      <c r="K207" s="16"/>
      <c r="L207" s="16"/>
      <c r="M207" s="16"/>
      <c r="N207" s="16"/>
      <c r="O207" s="16"/>
      <c r="P207" s="17">
        <v>14.7</v>
      </c>
    </row>
    <row r="208" spans="1:16" x14ac:dyDescent="0.2">
      <c r="A208" s="28" t="s">
        <v>55</v>
      </c>
      <c r="B208" s="39" t="s">
        <v>107</v>
      </c>
      <c r="C208" s="39" t="s">
        <v>112</v>
      </c>
      <c r="D208" s="39">
        <v>48.6</v>
      </c>
      <c r="E208" s="39">
        <v>50.9</v>
      </c>
      <c r="F208" s="39">
        <v>56.6</v>
      </c>
      <c r="G208" s="39">
        <v>64.400000000000006</v>
      </c>
      <c r="H208" s="39">
        <v>72.3</v>
      </c>
      <c r="I208" s="39">
        <v>77.5</v>
      </c>
      <c r="J208" s="39">
        <v>79.400000000000006</v>
      </c>
      <c r="K208" s="39">
        <v>79.7</v>
      </c>
      <c r="L208" s="39">
        <v>75.900000000000006</v>
      </c>
      <c r="M208" s="39">
        <v>68.099999999999994</v>
      </c>
      <c r="N208" s="39">
        <v>58.6</v>
      </c>
      <c r="O208" s="39">
        <v>50.7</v>
      </c>
      <c r="P208" s="40">
        <v>65.3</v>
      </c>
    </row>
    <row r="209" spans="1:16" x14ac:dyDescent="0.2">
      <c r="A209" s="36" t="s">
        <v>55</v>
      </c>
      <c r="B209" s="13" t="s">
        <v>108</v>
      </c>
      <c r="C209" s="13" t="s">
        <v>112</v>
      </c>
      <c r="D209" s="13">
        <v>61.8</v>
      </c>
      <c r="E209" s="13">
        <v>64.3</v>
      </c>
      <c r="F209" s="13">
        <v>70.2</v>
      </c>
      <c r="G209" s="19">
        <v>75.900000000000006</v>
      </c>
      <c r="H209" s="19">
        <v>83</v>
      </c>
      <c r="I209" s="19">
        <v>88.2</v>
      </c>
      <c r="J209" s="19">
        <v>89.6</v>
      </c>
      <c r="K209" s="19">
        <v>90.3</v>
      </c>
      <c r="L209" s="19">
        <v>87.4</v>
      </c>
      <c r="M209" s="19">
        <v>80.599999999999994</v>
      </c>
      <c r="N209" s="19">
        <v>71.599999999999994</v>
      </c>
      <c r="O209" s="19">
        <v>63.9</v>
      </c>
      <c r="P209" s="14">
        <v>77.2</v>
      </c>
    </row>
    <row r="210" spans="1:16" x14ac:dyDescent="0.2">
      <c r="A210" s="36" t="s">
        <v>55</v>
      </c>
      <c r="B210" s="13" t="s">
        <v>109</v>
      </c>
      <c r="C210" s="13" t="s">
        <v>113</v>
      </c>
      <c r="D210" s="19">
        <v>11.5</v>
      </c>
      <c r="E210" s="19">
        <v>11.8</v>
      </c>
      <c r="F210" s="19">
        <v>12</v>
      </c>
      <c r="G210" s="19">
        <v>12.6</v>
      </c>
      <c r="H210" s="19">
        <v>12.6</v>
      </c>
      <c r="I210" s="19">
        <v>11.1</v>
      </c>
      <c r="J210" s="19">
        <v>9.6</v>
      </c>
      <c r="K210" s="19">
        <v>9.5</v>
      </c>
      <c r="L210" s="19">
        <v>9.6999999999999993</v>
      </c>
      <c r="M210" s="19">
        <v>10.6</v>
      </c>
      <c r="N210" s="19">
        <v>11.1</v>
      </c>
      <c r="O210" s="19">
        <v>11.5</v>
      </c>
      <c r="P210" s="14">
        <v>11.1</v>
      </c>
    </row>
    <row r="211" spans="1:16" x14ac:dyDescent="0.2">
      <c r="A211" s="36" t="s">
        <v>55</v>
      </c>
      <c r="B211" s="13" t="s">
        <v>110</v>
      </c>
      <c r="C211" s="13" t="s">
        <v>114</v>
      </c>
      <c r="D211" s="125">
        <v>907.01730098572443</v>
      </c>
      <c r="E211" s="125">
        <v>1088.0609880952293</v>
      </c>
      <c r="F211" s="125">
        <v>1441.7631239246589</v>
      </c>
      <c r="G211" s="125">
        <v>1768.3636308333153</v>
      </c>
      <c r="H211" s="125">
        <v>2010.1736367383824</v>
      </c>
      <c r="I211" s="125">
        <v>2070.769948796371</v>
      </c>
      <c r="J211" s="125">
        <v>1993.5327842294103</v>
      </c>
      <c r="K211" s="125">
        <v>1880.2440570787087</v>
      </c>
      <c r="L211" s="125">
        <v>1610.3749107408053</v>
      </c>
      <c r="M211" s="125">
        <v>1370.7187086917095</v>
      </c>
      <c r="N211" s="125">
        <v>1052.3284923147796</v>
      </c>
      <c r="O211" s="125">
        <v>839.89513584223369</v>
      </c>
      <c r="P211" s="124">
        <v>1505</v>
      </c>
    </row>
    <row r="212" spans="1:16" ht="13.5" thickBot="1" x14ac:dyDescent="0.25">
      <c r="A212" s="34" t="s">
        <v>55</v>
      </c>
      <c r="B212" s="16" t="s">
        <v>111</v>
      </c>
      <c r="C212" s="16" t="s">
        <v>115</v>
      </c>
      <c r="D212" s="16"/>
      <c r="E212" s="16"/>
      <c r="F212" s="16"/>
      <c r="G212" s="16"/>
      <c r="H212" s="16"/>
      <c r="I212" s="16"/>
      <c r="J212" s="16"/>
      <c r="K212" s="16"/>
      <c r="L212" s="16"/>
      <c r="M212" s="16"/>
      <c r="N212" s="16"/>
      <c r="O212" s="16"/>
      <c r="P212" s="17">
        <v>14.7</v>
      </c>
    </row>
    <row r="213" spans="1:16" hidden="1" x14ac:dyDescent="0.2">
      <c r="B213" s="13"/>
      <c r="C213" s="13"/>
      <c r="P213" s="15"/>
    </row>
  </sheetData>
  <sheetProtection algorithmName="SHA-512" hashValue="I0TpPGOSGUIrk+t9uQKlps5/YGxoXUrgTmX4pfECjJms6RSAG83b/bG8hcya6CaMKK2J1WodDHajqvMWiyRKDA==" saltValue="cw8NpS4FCZJ6WBRH3s4YIQ==" spinCount="100000" sheet="1" objects="1" scenarios="1" formatColumns="0" formatRows="0"/>
  <autoFilter ref="A112:P112" xr:uid="{00000000-0009-0000-0000-000006000000}"/>
  <mergeCells count="8">
    <mergeCell ref="P7:V7"/>
    <mergeCell ref="P29:V29"/>
    <mergeCell ref="P53:V53"/>
    <mergeCell ref="P75:U75"/>
    <mergeCell ref="P8:U8"/>
    <mergeCell ref="P30:U30"/>
    <mergeCell ref="P54:U54"/>
    <mergeCell ref="P73:S73"/>
  </mergeCells>
  <hyperlinks>
    <hyperlink ref="P73" r:id="rId1" xr:uid="{00000000-0004-0000-0600-000000000000}"/>
    <hyperlink ref="P8" r:id="rId2" xr:uid="{00000000-0004-0000-0600-000001000000}"/>
    <hyperlink ref="P30" r:id="rId3" xr:uid="{00000000-0004-0000-0600-000002000000}"/>
    <hyperlink ref="P54" r:id="rId4" xr:uid="{00000000-0004-0000-0600-000003000000}"/>
  </hyperlinks>
  <pageMargins left="0.7" right="0.7" top="0.75" bottom="0.75" header="0.3" footer="0.3"/>
  <pageSetup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47790-B1D8-4907-9416-3621F79BF82E}">
  <sheetPr codeName="Sheet8">
    <tabColor rgb="FF92D050"/>
  </sheetPr>
  <dimension ref="A1:C6"/>
  <sheetViews>
    <sheetView workbookViewId="0">
      <selection activeCell="N15" sqref="N15"/>
    </sheetView>
  </sheetViews>
  <sheetFormatPr defaultRowHeight="15" x14ac:dyDescent="0.25"/>
  <sheetData>
    <row r="1" spans="1:3" x14ac:dyDescent="0.25">
      <c r="A1" t="s">
        <v>396</v>
      </c>
    </row>
    <row r="2" spans="1:3" x14ac:dyDescent="0.25">
      <c r="A2" t="s">
        <v>397</v>
      </c>
    </row>
    <row r="5" spans="1:3" x14ac:dyDescent="0.25">
      <c r="A5" t="s">
        <v>402</v>
      </c>
    </row>
    <row r="6" spans="1:3" ht="42.75" x14ac:dyDescent="0.25">
      <c r="A6" s="67" t="s">
        <v>261</v>
      </c>
      <c r="B6" s="106" t="s">
        <v>95</v>
      </c>
      <c r="C6" t="s">
        <v>403</v>
      </c>
    </row>
  </sheetData>
  <sheetProtection algorithmName="SHA-512" hashValue="48PhKaDmr31xUKIoJ72OIj7ivON0JpovhEOcOv1RY36OQ82BNA9ft0mo04i4oia8ME1kan8G407g4H/VgQh10g==" saltValue="0lESoWzwK0yAzTuhHewQCg==" spinCount="100000" sheet="1" objects="1" scenarios="1"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Tank Information</vt:lpstr>
      <vt:lpstr>Calculated Emission Totals</vt:lpstr>
      <vt:lpstr>Equation Glossary</vt:lpstr>
      <vt:lpstr>notes</vt:lpstr>
      <vt:lpstr>Cover!Print_Area</vt:lpstr>
      <vt:lpstr>'Equation Glossary'!Print_Area</vt:lpstr>
      <vt:lpstr>'Tank Information'!Print_Area</vt:lpstr>
      <vt:lpstr>TitleRegion1.a2.d62.2</vt:lpstr>
      <vt:lpstr>TitleRegion1.a2.e43.4</vt:lpstr>
      <vt:lpstr>TitleRegion1.a2.o43.3</vt:lpstr>
      <vt:lpstr>TitleRegion2.a64.c87.2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dc:creator>
  <cp:lastModifiedBy>Vern Casal</cp:lastModifiedBy>
  <cp:lastPrinted>2021-08-12T20:04:52Z</cp:lastPrinted>
  <dcterms:created xsi:type="dcterms:W3CDTF">2019-10-10T20:15:01Z</dcterms:created>
  <dcterms:modified xsi:type="dcterms:W3CDTF">2021-08-20T19:38:20Z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OilGasStorageTank</vt:lpwstr>
  </property>
  <property fmtid="{D5CDD505-2E9C-101B-9397-08002B2CF9AE}" pid="3" name="Version Date">
    <vt:filetime>2021-08-26T10:00:00Z</vt:filetime>
  </property>
  <property fmtid="{D5CDD505-2E9C-101B-9397-08002B2CF9AE}" pid="4" name="Version Number">
    <vt:lpwstr>3.0</vt:lpwstr>
  </property>
</Properties>
</file>