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P:\DSS\APD\Forms-Tables-Checklist-Guidance\Field Creation Folder\Traci Spencer\1 Working\2020\Feb\Project 2126\"/>
    </mc:Choice>
  </mc:AlternateContent>
  <xr:revisionPtr revIDLastSave="0" documentId="8_{21A17BAC-55BE-49F9-A704-CA07A69A3D2C}" xr6:coauthVersionLast="44" xr6:coauthVersionMax="44" xr10:uidLastSave="{00000000-0000-0000-0000-000000000000}"/>
  <workbookProtection workbookAlgorithmName="SHA-512" workbookHashValue="49cja+++cGYgj6H5rg0H7K4L0q1PlREIVUeMknHzzlfCe2t5feR9OrWbs0HK9yQ88OaV7BlWrncN5g/DfUCFKQ==" workbookSaltValue="Ff3V1b5iKMRd78S93cnbow==" workbookSpinCount="100000" lockStructure="1"/>
  <bookViews>
    <workbookView xWindow="-120" yWindow="-120" windowWidth="29040" windowHeight="15840" tabRatio="842" xr2:uid="{00000000-000D-0000-FFFF-FFFF00000000}"/>
  </bookViews>
  <sheets>
    <sheet name="Workbook Summary &amp; Instructions" sheetId="29" r:id="rId1"/>
    <sheet name="General Plant Information" sheetId="16" r:id="rId2"/>
    <sheet name="Material Handling &amp; Stockpiles" sheetId="21" r:id="rId3"/>
    <sheet name=" Silo Emissions" sheetId="22" r:id="rId4"/>
    <sheet name="Loading &amp; Baghouse Emissions" sheetId="25" r:id="rId5"/>
    <sheet name="Emissions Summary Table" sheetId="27" r:id="rId6"/>
    <sheet name="References" sheetId="28" r:id="rId7"/>
    <sheet name="Lists" sheetId="24" state="hidden" r:id="rId8"/>
  </sheets>
  <definedNames>
    <definedName name="List">Lists!$D$5:$D$6</definedName>
    <definedName name="List1">Lists!$D$4:$D$6</definedName>
    <definedName name="List11">Lists!$F$5:$F$6</definedName>
    <definedName name="List2">Lists!$G$4:$G$6</definedName>
    <definedName name="List3">Lists!$J$5:$J$14</definedName>
    <definedName name="List4">Lists!$N$5:$N$7</definedName>
    <definedName name="List5">Lists!$P$6:$P$15</definedName>
    <definedName name="List6">Lists!$R$6:$R$10</definedName>
    <definedName name="_xlnm.Print_Area" localSheetId="3">' Silo Emissions'!$A$1:$H$54</definedName>
    <definedName name="_xlnm.Print_Area" localSheetId="5">'Emissions Summary Table'!$A$1:$I$20</definedName>
    <definedName name="_xlnm.Print_Area" localSheetId="1">'General Plant Information'!$A$1:$E$24</definedName>
    <definedName name="_xlnm.Print_Area" localSheetId="4">'Loading &amp; Baghouse Emissions'!$A$1:$G$31</definedName>
    <definedName name="_xlnm.Print_Area" localSheetId="2">'Material Handling &amp; Stockpiles'!$A:$L</definedName>
    <definedName name="_xlnm.Print_Area" localSheetId="6">References!$A$1:$M$16</definedName>
    <definedName name="_xlnm.Print_Area" localSheetId="0">'Workbook Summary &amp; Instructions'!$A$1:$G$12</definedName>
    <definedName name="Test" localSheetId="5">'Emissions Summary Table'!$B$6:$B$14</definedName>
    <definedName name="Test">#REF!</definedName>
    <definedName name="TitleRegion1.a4.e5.2" localSheetId="1">'General Plant Information'!$B$4:$E$4</definedName>
    <definedName name="TitleRegion2.a6.c7.2" localSheetId="1">'General Plant Information'!$A$6</definedName>
    <definedName name="TitleRegion3.a8.b9.2" localSheetId="1">'General Plant Information'!$A$8</definedName>
    <definedName name="TitleRegion4.a12.c16.2" localSheetId="1">'General Plant Information'!$A$12</definedName>
    <definedName name="TitleRegion5.a18.c22.2" localSheetId="1">'General Plant Information'!$A$18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2" i="25" l="1"/>
  <c r="B22" i="25"/>
  <c r="A22" i="25"/>
  <c r="A10" i="25" l="1"/>
  <c r="A44" i="22" l="1"/>
  <c r="A40" i="22"/>
  <c r="A10" i="27"/>
  <c r="A18" i="27"/>
  <c r="A17" i="27"/>
  <c r="A16" i="27"/>
  <c r="A15" i="27"/>
  <c r="A14" i="27"/>
  <c r="A13" i="27"/>
  <c r="A12" i="27"/>
  <c r="A11" i="27"/>
  <c r="A9" i="27"/>
  <c r="A8" i="27"/>
  <c r="A7" i="27"/>
  <c r="A6" i="27" l="1"/>
  <c r="A9" i="25" l="1"/>
  <c r="A42" i="22" l="1"/>
  <c r="F41" i="22"/>
  <c r="A31" i="22" l="1"/>
  <c r="A14" i="22" l="1"/>
  <c r="F39" i="22" l="1"/>
  <c r="A4" i="25" l="1"/>
  <c r="A24" i="21" l="1"/>
  <c r="A9" i="21"/>
  <c r="A19" i="27" l="1"/>
  <c r="A41" i="22" l="1"/>
  <c r="A52" i="22"/>
  <c r="G49" i="22"/>
  <c r="G51" i="22" s="1"/>
  <c r="G50" i="22"/>
  <c r="G48" i="22" s="1"/>
  <c r="G52" i="22" l="1"/>
  <c r="A25" i="21"/>
  <c r="A10" i="21"/>
  <c r="C22" i="16" l="1"/>
  <c r="C21" i="16"/>
  <c r="C20" i="16"/>
  <c r="L21" i="21" s="1"/>
  <c r="C25" i="21" s="1"/>
  <c r="C19" i="16"/>
  <c r="L6" i="21" s="1"/>
  <c r="C10" i="21" s="1"/>
  <c r="B22" i="16"/>
  <c r="B21" i="16"/>
  <c r="B20" i="16"/>
  <c r="L20" i="21" s="1"/>
  <c r="C24" i="21" s="1"/>
  <c r="B19" i="16"/>
  <c r="L5" i="21" s="1"/>
  <c r="G13" i="21" l="1"/>
  <c r="C9" i="21"/>
  <c r="E17" i="21"/>
  <c r="E13" i="21"/>
  <c r="E15" i="21"/>
  <c r="H17" i="21"/>
  <c r="H15" i="21"/>
  <c r="H13" i="21"/>
  <c r="F13" i="21"/>
  <c r="F16" i="21"/>
  <c r="E18" i="21"/>
  <c r="E16" i="21"/>
  <c r="E14" i="21"/>
  <c r="L15" i="21"/>
  <c r="H18" i="21"/>
  <c r="J14" i="21"/>
  <c r="H16" i="21"/>
  <c r="L16" i="21"/>
  <c r="J16" i="21"/>
  <c r="J15" i="21"/>
  <c r="L13" i="21"/>
  <c r="J17" i="21"/>
  <c r="F15" i="21"/>
  <c r="L17" i="21"/>
  <c r="F17" i="21"/>
  <c r="F18" i="21"/>
  <c r="J18" i="21"/>
  <c r="F14" i="21"/>
  <c r="L14" i="21"/>
  <c r="L18" i="21"/>
  <c r="H14" i="21"/>
  <c r="J13" i="21"/>
  <c r="E52" i="22"/>
  <c r="E51" i="22"/>
  <c r="E50" i="22"/>
  <c r="E49" i="22"/>
  <c r="E48" i="22"/>
  <c r="E47" i="22"/>
  <c r="E46" i="22"/>
  <c r="E45" i="22"/>
  <c r="A53" i="22"/>
  <c r="A51" i="22"/>
  <c r="A50" i="22"/>
  <c r="A49" i="22"/>
  <c r="A48" i="22"/>
  <c r="A47" i="22"/>
  <c r="A46" i="22"/>
  <c r="A45" i="22"/>
  <c r="D43" i="21"/>
  <c r="D40" i="21"/>
  <c r="D41" i="21" s="1"/>
  <c r="B6" i="27"/>
  <c r="B7" i="27"/>
  <c r="B11" i="27"/>
  <c r="B27" i="22"/>
  <c r="C27" i="22" s="1"/>
  <c r="D42" i="21" l="1"/>
  <c r="D46" i="21"/>
  <c r="A11" i="25"/>
  <c r="B13" i="27"/>
  <c r="D44" i="21"/>
  <c r="D45" i="21" s="1"/>
  <c r="E19" i="27"/>
  <c r="B10" i="27"/>
  <c r="B16" i="27"/>
  <c r="B15" i="27"/>
  <c r="B18" i="27"/>
  <c r="B17" i="27"/>
  <c r="B14" i="27"/>
  <c r="B12" i="27"/>
  <c r="E24" i="25"/>
  <c r="A20" i="25"/>
  <c r="A38" i="22"/>
  <c r="D48" i="21" l="1"/>
  <c r="D47" i="21"/>
  <c r="D7" i="27"/>
  <c r="A27" i="22"/>
  <c r="H7" i="27" l="1"/>
  <c r="F7" i="27"/>
  <c r="G47" i="22"/>
  <c r="B10" i="22"/>
  <c r="C10" i="22" s="1"/>
  <c r="A10" i="22"/>
  <c r="B18" i="25" l="1"/>
  <c r="C46" i="22"/>
  <c r="C52" i="22" l="1"/>
  <c r="C50" i="22"/>
  <c r="C48" i="22"/>
  <c r="B17" i="25"/>
  <c r="B16" i="25"/>
  <c r="C15" i="25"/>
  <c r="H29" i="22"/>
  <c r="G29" i="22"/>
  <c r="F29" i="22"/>
  <c r="E29" i="22"/>
  <c r="E12" i="22"/>
  <c r="G12" i="22"/>
  <c r="F12" i="22"/>
  <c r="H12" i="22"/>
  <c r="E17" i="22" l="1"/>
  <c r="E11" i="27" s="1"/>
  <c r="E15" i="22"/>
  <c r="C11" i="27" s="1"/>
  <c r="E19" i="22"/>
  <c r="G11" i="27" s="1"/>
  <c r="C25" i="25"/>
  <c r="B8" i="27" s="1"/>
  <c r="C29" i="25"/>
  <c r="G8" i="27" s="1"/>
  <c r="C27" i="25"/>
  <c r="E8" i="27" s="1"/>
  <c r="E29" i="25"/>
  <c r="G9" i="27" s="1"/>
  <c r="E27" i="25"/>
  <c r="E9" i="27" s="1"/>
  <c r="E25" i="25"/>
  <c r="B9" i="27" s="1"/>
  <c r="C18" i="25"/>
  <c r="C47" i="22"/>
  <c r="D32" i="21"/>
  <c r="D30" i="21"/>
  <c r="D28" i="21"/>
  <c r="C17" i="25"/>
  <c r="G10" i="27"/>
  <c r="E10" i="27"/>
  <c r="C10" i="27"/>
  <c r="K18" i="21"/>
  <c r="I18" i="21"/>
  <c r="G18" i="21"/>
  <c r="D18" i="21"/>
  <c r="D16" i="21"/>
  <c r="D14" i="21"/>
  <c r="K14" i="21"/>
  <c r="I14" i="21"/>
  <c r="G14" i="21"/>
  <c r="K16" i="21"/>
  <c r="I16" i="21"/>
  <c r="G16" i="21"/>
  <c r="L32" i="21"/>
  <c r="K32" i="21"/>
  <c r="J32" i="21"/>
  <c r="I32" i="21"/>
  <c r="H32" i="21"/>
  <c r="G32" i="21"/>
  <c r="F32" i="21"/>
  <c r="E32" i="21"/>
  <c r="I30" i="21"/>
  <c r="L28" i="21"/>
  <c r="H28" i="21"/>
  <c r="E30" i="21"/>
  <c r="K30" i="21"/>
  <c r="J28" i="21"/>
  <c r="G30" i="21"/>
  <c r="F28" i="21"/>
  <c r="C16" i="25"/>
  <c r="B15" i="25"/>
  <c r="L30" i="21"/>
  <c r="K28" i="21"/>
  <c r="J30" i="21"/>
  <c r="I28" i="21"/>
  <c r="H30" i="21"/>
  <c r="G28" i="21"/>
  <c r="F30" i="21"/>
  <c r="E28" i="21"/>
  <c r="H30" i="22"/>
  <c r="G30" i="22"/>
  <c r="F30" i="22"/>
  <c r="E30" i="22"/>
  <c r="F19" i="22"/>
  <c r="F15" i="22"/>
  <c r="F17" i="22"/>
  <c r="F34" i="22"/>
  <c r="E14" i="27" s="1"/>
  <c r="F32" i="22"/>
  <c r="C14" i="27" s="1"/>
  <c r="F36" i="22"/>
  <c r="G14" i="27" s="1"/>
  <c r="H36" i="22"/>
  <c r="G18" i="27" s="1"/>
  <c r="H32" i="22"/>
  <c r="C18" i="27" s="1"/>
  <c r="H34" i="22"/>
  <c r="E18" i="27" s="1"/>
  <c r="E13" i="22"/>
  <c r="G13" i="22"/>
  <c r="F13" i="22"/>
  <c r="H13" i="22"/>
  <c r="H19" i="22"/>
  <c r="G16" i="27" s="1"/>
  <c r="H17" i="22"/>
  <c r="E16" i="27" s="1"/>
  <c r="H15" i="22"/>
  <c r="C16" i="27" s="1"/>
  <c r="G19" i="22"/>
  <c r="G15" i="27" s="1"/>
  <c r="G17" i="22"/>
  <c r="E15" i="27" s="1"/>
  <c r="G15" i="22"/>
  <c r="C15" i="27" s="1"/>
  <c r="E32" i="22"/>
  <c r="C13" i="27" s="1"/>
  <c r="E36" i="22"/>
  <c r="G13" i="27" s="1"/>
  <c r="E34" i="22"/>
  <c r="E13" i="27" s="1"/>
  <c r="G32" i="22"/>
  <c r="C17" i="27" s="1"/>
  <c r="G36" i="22"/>
  <c r="G17" i="27" s="1"/>
  <c r="G34" i="22"/>
  <c r="E17" i="27" s="1"/>
  <c r="E16" i="22" l="1"/>
  <c r="D11" i="27" s="1"/>
  <c r="E18" i="22"/>
  <c r="F11" i="27" s="1"/>
  <c r="E20" i="22"/>
  <c r="H11" i="27" s="1"/>
  <c r="C26" i="25"/>
  <c r="D8" i="27" s="1"/>
  <c r="C28" i="25"/>
  <c r="F8" i="27" s="1"/>
  <c r="E30" i="25"/>
  <c r="H9" i="27" s="1"/>
  <c r="C30" i="25"/>
  <c r="H8" i="27" s="1"/>
  <c r="E28" i="25"/>
  <c r="F9" i="27" s="1"/>
  <c r="E26" i="25"/>
  <c r="D9" i="27" s="1"/>
  <c r="C53" i="22"/>
  <c r="H10" i="27" s="1"/>
  <c r="C49" i="22"/>
  <c r="D10" i="27" s="1"/>
  <c r="C51" i="22"/>
  <c r="F10" i="27" s="1"/>
  <c r="D31" i="21"/>
  <c r="D33" i="21"/>
  <c r="D29" i="21"/>
  <c r="C9" i="27"/>
  <c r="C8" i="27"/>
  <c r="C12" i="27"/>
  <c r="E12" i="27"/>
  <c r="G12" i="27"/>
  <c r="K17" i="21"/>
  <c r="I17" i="21"/>
  <c r="G17" i="21"/>
  <c r="D17" i="21"/>
  <c r="D15" i="21"/>
  <c r="D13" i="21"/>
  <c r="L33" i="21"/>
  <c r="K33" i="21"/>
  <c r="J33" i="21"/>
  <c r="I33" i="21"/>
  <c r="H33" i="21"/>
  <c r="G33" i="21"/>
  <c r="F33" i="21"/>
  <c r="E33" i="21"/>
  <c r="L29" i="21"/>
  <c r="K31" i="21"/>
  <c r="J29" i="21"/>
  <c r="I31" i="21"/>
  <c r="H29" i="21"/>
  <c r="G31" i="21"/>
  <c r="F29" i="21"/>
  <c r="E31" i="21"/>
  <c r="L31" i="21"/>
  <c r="K29" i="21"/>
  <c r="J31" i="21"/>
  <c r="I29" i="21"/>
  <c r="H31" i="21"/>
  <c r="G29" i="21"/>
  <c r="F31" i="21"/>
  <c r="E29" i="21"/>
  <c r="I15" i="21"/>
  <c r="K13" i="21"/>
  <c r="G15" i="21"/>
  <c r="I13" i="21"/>
  <c r="K15" i="21"/>
  <c r="F16" i="22"/>
  <c r="F18" i="22"/>
  <c r="F20" i="22"/>
  <c r="E33" i="22"/>
  <c r="D13" i="27" s="1"/>
  <c r="E37" i="22"/>
  <c r="H13" i="27" s="1"/>
  <c r="E35" i="22"/>
  <c r="F13" i="27" s="1"/>
  <c r="G33" i="22"/>
  <c r="D17" i="27" s="1"/>
  <c r="G37" i="22"/>
  <c r="H17" i="27" s="1"/>
  <c r="G35" i="22"/>
  <c r="F17" i="27" s="1"/>
  <c r="H20" i="22"/>
  <c r="H16" i="27" s="1"/>
  <c r="H16" i="22"/>
  <c r="D16" i="27" s="1"/>
  <c r="H18" i="22"/>
  <c r="F16" i="27" s="1"/>
  <c r="G20" i="22"/>
  <c r="H15" i="27" s="1"/>
  <c r="G18" i="22"/>
  <c r="F15" i="27" s="1"/>
  <c r="G16" i="22"/>
  <c r="D15" i="27" s="1"/>
  <c r="F35" i="22"/>
  <c r="F14" i="27" s="1"/>
  <c r="F33" i="22"/>
  <c r="D14" i="27" s="1"/>
  <c r="F37" i="22"/>
  <c r="H14" i="27" s="1"/>
  <c r="H35" i="22"/>
  <c r="F18" i="27" s="1"/>
  <c r="H33" i="22"/>
  <c r="D18" i="27" s="1"/>
  <c r="H37" i="22"/>
  <c r="H18" i="27" s="1"/>
  <c r="G6" i="27" l="1"/>
  <c r="H6" i="27"/>
  <c r="D6" i="27"/>
  <c r="F6" i="27"/>
  <c r="C6" i="27"/>
  <c r="E6" i="27"/>
  <c r="D12" i="27"/>
  <c r="F12" i="27"/>
  <c r="H12" i="27"/>
</calcChain>
</file>

<file path=xl/sharedStrings.xml><?xml version="1.0" encoding="utf-8"?>
<sst xmlns="http://schemas.openxmlformats.org/spreadsheetml/2006/main" count="311" uniqueCount="160">
  <si>
    <t>PM10 (lb/hr)</t>
  </si>
  <si>
    <t>PM10 (ton/yr)</t>
  </si>
  <si>
    <t>PM (lb/hr)</t>
  </si>
  <si>
    <t>PM (ton/yr)</t>
  </si>
  <si>
    <t>Name</t>
  </si>
  <si>
    <t>Aggregate</t>
  </si>
  <si>
    <t>ton/yr</t>
  </si>
  <si>
    <t>ton/hr</t>
  </si>
  <si>
    <t>Sand</t>
  </si>
  <si>
    <t>lb/hr</t>
  </si>
  <si>
    <t>Cement</t>
  </si>
  <si>
    <t>Supplement</t>
  </si>
  <si>
    <t>PM2.5 (lb/hr)</t>
  </si>
  <si>
    <t>PM2.5 (ton/yr)</t>
  </si>
  <si>
    <t>PM</t>
  </si>
  <si>
    <t>-.--</t>
  </si>
  <si>
    <t>Central Dust Collector</t>
  </si>
  <si>
    <t xml:space="preserve">Operating Schedule </t>
  </si>
  <si>
    <t>days/week</t>
  </si>
  <si>
    <t>weeks/year</t>
  </si>
  <si>
    <t>hours/year</t>
  </si>
  <si>
    <t>hours/day</t>
  </si>
  <si>
    <t>Stockpile Area (acres)</t>
  </si>
  <si>
    <t>Yes</t>
  </si>
  <si>
    <t xml:space="preserve">Concrete Composition </t>
  </si>
  <si>
    <t>Material</t>
  </si>
  <si>
    <t>Maximum Material Mass Flow Rate</t>
  </si>
  <si>
    <t>No</t>
  </si>
  <si>
    <t>Maximum Mass Flow Rate (ton/yr)</t>
  </si>
  <si>
    <t>Maximum Mass Flow Rate (ton/hr)</t>
  </si>
  <si>
    <t>PM  (lb/hr)</t>
  </si>
  <si>
    <t>PM  (ton/yr)</t>
  </si>
  <si>
    <t>PM10  (lb/hr)</t>
  </si>
  <si>
    <t>PM10  (ton/yr)</t>
  </si>
  <si>
    <t>PM2.5  (lb/hr)</t>
  </si>
  <si>
    <t>PM2.5  (ton/yr)</t>
  </si>
  <si>
    <t>Material Handling - Sand Transfer Points</t>
  </si>
  <si>
    <t>Number of Active Days per Year</t>
  </si>
  <si>
    <t>PM Inactive Emissions (ton/yr)</t>
  </si>
  <si>
    <t>PM Active Emissions (ton/yr)</t>
  </si>
  <si>
    <t>TOTAL PM Emissions (ton/yr)</t>
  </si>
  <si>
    <t>How many cement silos? (Up to 4)</t>
  </si>
  <si>
    <t>Hourly Loading Rate (ton/hr)</t>
  </si>
  <si>
    <t>Annual Loading Rate (ton/yr)</t>
  </si>
  <si>
    <t>Emission Factors - Cement Silo</t>
  </si>
  <si>
    <r>
      <t>lb</t>
    </r>
    <r>
      <rPr>
        <vertAlign val="subscript"/>
        <sz val="11"/>
        <color theme="1"/>
        <rFont val="Calibri"/>
        <family val="2"/>
        <scheme val="minor"/>
      </rPr>
      <t>PM</t>
    </r>
    <r>
      <rPr>
        <sz val="11"/>
        <color theme="1"/>
        <rFont val="Calibri"/>
        <family val="2"/>
        <scheme val="minor"/>
      </rPr>
      <t>/ton</t>
    </r>
  </si>
  <si>
    <r>
      <t>lb</t>
    </r>
    <r>
      <rPr>
        <vertAlign val="subscript"/>
        <sz val="11"/>
        <color theme="1"/>
        <rFont val="Calibri"/>
        <family val="2"/>
        <scheme val="minor"/>
      </rPr>
      <t>PM10</t>
    </r>
    <r>
      <rPr>
        <sz val="11"/>
        <color theme="1"/>
        <rFont val="Calibri"/>
        <family val="2"/>
        <scheme val="minor"/>
      </rPr>
      <t>/ton</t>
    </r>
  </si>
  <si>
    <r>
      <t>lb</t>
    </r>
    <r>
      <rPr>
        <vertAlign val="subscript"/>
        <sz val="11"/>
        <color theme="1"/>
        <rFont val="Calibri"/>
        <family val="2"/>
        <scheme val="minor"/>
      </rPr>
      <t>PM2.5</t>
    </r>
    <r>
      <rPr>
        <sz val="11"/>
        <color theme="1"/>
        <rFont val="Calibri"/>
        <family val="2"/>
        <scheme val="minor"/>
      </rPr>
      <t>/ton</t>
    </r>
  </si>
  <si>
    <t>How many supplement silos? (Up to 4)</t>
  </si>
  <si>
    <t>Emission Factors - Supplement Silo</t>
  </si>
  <si>
    <t>Outlet Grain Loading</t>
  </si>
  <si>
    <t>Cement Silo #1</t>
  </si>
  <si>
    <t>Cement Silo #2</t>
  </si>
  <si>
    <t>Cement Silo #3</t>
  </si>
  <si>
    <t>Cement Silo #4</t>
  </si>
  <si>
    <t>Cement Supplement Silo #1</t>
  </si>
  <si>
    <t>Cement Supplement Silo #2</t>
  </si>
  <si>
    <t>Cement Supplement Silo #3</t>
  </si>
  <si>
    <t>Cement Supplement Silo #4</t>
  </si>
  <si>
    <t>List3</t>
  </si>
  <si>
    <t>System Efficiency</t>
  </si>
  <si>
    <t>List4</t>
  </si>
  <si>
    <t>Truck Mix</t>
  </si>
  <si>
    <t>Central Mix</t>
  </si>
  <si>
    <t>Would you like to use the default composition of concrete?</t>
  </si>
  <si>
    <t>List2</t>
  </si>
  <si>
    <t>List11</t>
  </si>
  <si>
    <t>Use the Default Suction Shroud Capture Efficiency?</t>
  </si>
  <si>
    <t>Central Baghouse Stack Emission Rates</t>
  </si>
  <si>
    <t>What is the central baghouse efficiency? (%)</t>
  </si>
  <si>
    <t>List 5</t>
  </si>
  <si>
    <t>Emission Point Number(s)</t>
  </si>
  <si>
    <t>Control Efficiency (%)</t>
  </si>
  <si>
    <t>Control Efficiency  (%)</t>
  </si>
  <si>
    <t xml:space="preserve">Raw Material Stockpile Emissions </t>
  </si>
  <si>
    <t>List6</t>
  </si>
  <si>
    <t>Material Silos</t>
  </si>
  <si>
    <t>This will be hidden</t>
  </si>
  <si>
    <t>References</t>
  </si>
  <si>
    <t>Material Handling - Sand and Aggregate Transfer Points</t>
  </si>
  <si>
    <t>Cement/Supplement Weigh Hopper Emissions</t>
  </si>
  <si>
    <t>Loading Emission Rates</t>
  </si>
  <si>
    <t>Control Type</t>
  </si>
  <si>
    <t>Material Handling - Coarse Aggregate Transfer Points</t>
  </si>
  <si>
    <t>Type of Batch Plant</t>
  </si>
  <si>
    <t xml:space="preserve">Truck or Central Mix? </t>
  </si>
  <si>
    <t xml:space="preserve">General Plant Information </t>
  </si>
  <si>
    <t xml:space="preserve"> Press the UP or DOWN arrow in column A to read through the document. Press TAB to move through input areas.</t>
  </si>
  <si>
    <r>
      <t>yd</t>
    </r>
    <r>
      <rPr>
        <vertAlign val="superscript"/>
        <sz val="11"/>
        <rFont val="Arial"/>
        <family val="2"/>
      </rPr>
      <t>3</t>
    </r>
    <r>
      <rPr>
        <sz val="11"/>
        <rFont val="Arial"/>
        <family val="2"/>
      </rPr>
      <t>/ year</t>
    </r>
  </si>
  <si>
    <r>
      <t>yd</t>
    </r>
    <r>
      <rPr>
        <vertAlign val="superscript"/>
        <sz val="11"/>
        <rFont val="Arial"/>
        <family val="2"/>
      </rPr>
      <t>3</t>
    </r>
    <r>
      <rPr>
        <sz val="11"/>
        <rFont val="Arial"/>
        <family val="2"/>
      </rPr>
      <t>/ hour</t>
    </r>
  </si>
  <si>
    <t>Concrete Production Rate</t>
  </si>
  <si>
    <t>This cell intentionally left blank</t>
  </si>
  <si>
    <t>no data</t>
  </si>
  <si>
    <t>Emission Point Number</t>
  </si>
  <si>
    <t>Use the maximum material mass flowrate?</t>
  </si>
  <si>
    <t>Enter the number of Aggregate Transfer Points</t>
  </si>
  <si>
    <t>Enter the number of Sand Transfer Points</t>
  </si>
  <si>
    <r>
      <t>PM</t>
    </r>
    <r>
      <rPr>
        <sz val="8"/>
        <rFont val="Arial"/>
        <family val="2"/>
      </rPr>
      <t>10</t>
    </r>
    <r>
      <rPr>
        <sz val="11"/>
        <rFont val="Arial"/>
        <family val="2"/>
      </rPr>
      <t xml:space="preserve"> Inactive Emissions (ton/yr)</t>
    </r>
  </si>
  <si>
    <r>
      <t>PM</t>
    </r>
    <r>
      <rPr>
        <sz val="8"/>
        <rFont val="Arial"/>
        <family val="2"/>
      </rPr>
      <t>2.5</t>
    </r>
    <r>
      <rPr>
        <sz val="11"/>
        <rFont val="Arial"/>
        <family val="2"/>
      </rPr>
      <t xml:space="preserve"> Inactive Emissions (ton/yr)</t>
    </r>
  </si>
  <si>
    <r>
      <t>PM</t>
    </r>
    <r>
      <rPr>
        <sz val="8"/>
        <rFont val="Arial"/>
        <family val="2"/>
      </rPr>
      <t>10</t>
    </r>
    <r>
      <rPr>
        <sz val="11"/>
        <rFont val="Arial"/>
        <family val="2"/>
      </rPr>
      <t xml:space="preserve"> Active Emissions (ton/yr)</t>
    </r>
  </si>
  <si>
    <r>
      <t>PM</t>
    </r>
    <r>
      <rPr>
        <sz val="8"/>
        <rFont val="Arial"/>
        <family val="2"/>
      </rPr>
      <t>2.5</t>
    </r>
    <r>
      <rPr>
        <sz val="11"/>
        <rFont val="Arial"/>
        <family val="2"/>
      </rPr>
      <t xml:space="preserve"> Active Emissions (ton/yr)</t>
    </r>
  </si>
  <si>
    <r>
      <t>TOTAL PM</t>
    </r>
    <r>
      <rPr>
        <b/>
        <sz val="8"/>
        <rFont val="Arial"/>
        <family val="2"/>
      </rPr>
      <t>10</t>
    </r>
    <r>
      <rPr>
        <b/>
        <sz val="11"/>
        <rFont val="Arial"/>
        <family val="2"/>
      </rPr>
      <t xml:space="preserve"> Emissions (ton/yr)</t>
    </r>
  </si>
  <si>
    <r>
      <t>TOTAL PM</t>
    </r>
    <r>
      <rPr>
        <b/>
        <sz val="8"/>
        <rFont val="Arial"/>
        <family val="2"/>
      </rPr>
      <t>2.5</t>
    </r>
    <r>
      <rPr>
        <b/>
        <sz val="11"/>
        <rFont val="Arial"/>
        <family val="2"/>
      </rPr>
      <t xml:space="preserve"> Emissions (ton/yr)</t>
    </r>
  </si>
  <si>
    <t>Emissions Summary Table</t>
  </si>
  <si>
    <r>
      <t>PM</t>
    </r>
    <r>
      <rPr>
        <b/>
        <sz val="8"/>
        <color theme="1"/>
        <rFont val="Arial"/>
        <family val="2"/>
      </rPr>
      <t>10</t>
    </r>
  </si>
  <si>
    <r>
      <t>PM</t>
    </r>
    <r>
      <rPr>
        <b/>
        <sz val="8"/>
        <color theme="1"/>
        <rFont val="Arial"/>
        <family val="2"/>
      </rPr>
      <t>2.5</t>
    </r>
  </si>
  <si>
    <r>
      <t>lb</t>
    </r>
    <r>
      <rPr>
        <vertAlign val="subscript"/>
        <sz val="11"/>
        <color theme="1"/>
        <rFont val="Arial"/>
        <family val="2"/>
      </rPr>
      <t>PM</t>
    </r>
    <r>
      <rPr>
        <sz val="11"/>
        <color theme="1"/>
        <rFont val="Arial"/>
        <family val="2"/>
      </rPr>
      <t>/ton</t>
    </r>
  </si>
  <si>
    <r>
      <t>lb</t>
    </r>
    <r>
      <rPr>
        <vertAlign val="subscript"/>
        <sz val="11"/>
        <color theme="1"/>
        <rFont val="Arial"/>
        <family val="2"/>
      </rPr>
      <t>PM10</t>
    </r>
    <r>
      <rPr>
        <sz val="11"/>
        <color theme="1"/>
        <rFont val="Arial"/>
        <family val="2"/>
      </rPr>
      <t>/ton</t>
    </r>
  </si>
  <si>
    <r>
      <t>lb</t>
    </r>
    <r>
      <rPr>
        <vertAlign val="subscript"/>
        <sz val="11"/>
        <color theme="1"/>
        <rFont val="Arial"/>
        <family val="2"/>
      </rPr>
      <t>PM2.5</t>
    </r>
    <r>
      <rPr>
        <sz val="11"/>
        <color theme="1"/>
        <rFont val="Arial"/>
        <family val="2"/>
      </rPr>
      <t>/ton</t>
    </r>
  </si>
  <si>
    <r>
      <t>PM</t>
    </r>
    <r>
      <rPr>
        <sz val="8"/>
        <rFont val="Arial"/>
        <family val="2"/>
      </rPr>
      <t>10</t>
    </r>
    <r>
      <rPr>
        <sz val="11"/>
        <rFont val="Arial"/>
        <family val="2"/>
      </rPr>
      <t xml:space="preserve"> (lb/hr)</t>
    </r>
  </si>
  <si>
    <r>
      <t>PM</t>
    </r>
    <r>
      <rPr>
        <sz val="8"/>
        <rFont val="Arial"/>
        <family val="2"/>
      </rPr>
      <t>10</t>
    </r>
    <r>
      <rPr>
        <sz val="11"/>
        <rFont val="Arial"/>
        <family val="2"/>
      </rPr>
      <t xml:space="preserve"> (ton/yr)</t>
    </r>
  </si>
  <si>
    <r>
      <t>PM</t>
    </r>
    <r>
      <rPr>
        <sz val="8"/>
        <rFont val="Arial"/>
        <family val="2"/>
      </rPr>
      <t>2.5</t>
    </r>
    <r>
      <rPr>
        <sz val="11"/>
        <rFont val="Arial"/>
        <family val="2"/>
      </rPr>
      <t xml:space="preserve"> (lb/hr)</t>
    </r>
  </si>
  <si>
    <r>
      <t>PM</t>
    </r>
    <r>
      <rPr>
        <sz val="8"/>
        <rFont val="Arial"/>
        <family val="2"/>
      </rPr>
      <t>2.5</t>
    </r>
    <r>
      <rPr>
        <sz val="11"/>
        <rFont val="Arial"/>
        <family val="2"/>
      </rPr>
      <t xml:space="preserve"> (ton/yr)</t>
    </r>
  </si>
  <si>
    <t>Would you like to use the manufacturer's filter efficiency?</t>
  </si>
  <si>
    <t>Is there a cement/supplement weigh hopper?</t>
  </si>
  <si>
    <t>End of worksheet</t>
  </si>
  <si>
    <t>Custom 
(lb/yd3)</t>
  </si>
  <si>
    <t>Default 
(lbs/yd3)</t>
  </si>
  <si>
    <r>
      <t>PM</t>
    </r>
    <r>
      <rPr>
        <sz val="8"/>
        <color theme="1"/>
        <rFont val="Arial"/>
        <family val="2"/>
      </rPr>
      <t xml:space="preserve">10 </t>
    </r>
    <r>
      <rPr>
        <sz val="11"/>
        <color theme="1"/>
        <rFont val="Arial"/>
        <family val="2"/>
      </rPr>
      <t>(lb/hr)</t>
    </r>
  </si>
  <si>
    <r>
      <t>PM</t>
    </r>
    <r>
      <rPr>
        <sz val="8"/>
        <color theme="1"/>
        <rFont val="Arial"/>
        <family val="2"/>
      </rPr>
      <t>10</t>
    </r>
    <r>
      <rPr>
        <sz val="11"/>
        <color theme="1"/>
        <rFont val="Arial"/>
        <family val="2"/>
      </rPr>
      <t xml:space="preserve"> (ton/yr)</t>
    </r>
  </si>
  <si>
    <r>
      <t>PM</t>
    </r>
    <r>
      <rPr>
        <sz val="8"/>
        <color theme="1"/>
        <rFont val="Arial"/>
        <family val="2"/>
      </rPr>
      <t>2.5</t>
    </r>
    <r>
      <rPr>
        <sz val="11"/>
        <color theme="1"/>
        <rFont val="Arial"/>
        <family val="2"/>
      </rPr>
      <t xml:space="preserve"> (lb/hr)</t>
    </r>
  </si>
  <si>
    <r>
      <t>PM</t>
    </r>
    <r>
      <rPr>
        <sz val="8"/>
        <color theme="1"/>
        <rFont val="Arial"/>
        <family val="2"/>
      </rPr>
      <t>2.5</t>
    </r>
    <r>
      <rPr>
        <sz val="11"/>
        <color theme="1"/>
        <rFont val="Arial"/>
        <family val="2"/>
      </rPr>
      <t xml:space="preserve"> (ton/yr)</t>
    </r>
  </si>
  <si>
    <r>
      <t>PM</t>
    </r>
    <r>
      <rPr>
        <sz val="8"/>
        <color theme="1"/>
        <rFont val="Arial"/>
        <family val="2"/>
      </rPr>
      <t>10</t>
    </r>
    <r>
      <rPr>
        <sz val="11"/>
        <color theme="1"/>
        <rFont val="Arial"/>
        <family val="2"/>
      </rPr>
      <t xml:space="preserve"> (lb/hr)</t>
    </r>
  </si>
  <si>
    <r>
      <t>PM</t>
    </r>
    <r>
      <rPr>
        <sz val="8"/>
        <color theme="1"/>
        <rFont val="Arial"/>
        <family val="2"/>
      </rPr>
      <t>10</t>
    </r>
    <r>
      <rPr>
        <sz val="9"/>
        <color theme="1"/>
        <rFont val="Arial"/>
        <family val="2"/>
      </rPr>
      <t xml:space="preserve"> </t>
    </r>
    <r>
      <rPr>
        <sz val="11"/>
        <color theme="1"/>
        <rFont val="Arial"/>
        <family val="2"/>
      </rPr>
      <t>(ton/yr)</t>
    </r>
  </si>
  <si>
    <t xml:space="preserve"> Maximum Throughput</t>
  </si>
  <si>
    <t>Pollutant</t>
  </si>
  <si>
    <t xml:space="preserve">Loading and Baghouse Emissions </t>
  </si>
  <si>
    <t>Material Handling &amp; Stockpile Emissions</t>
  </si>
  <si>
    <t>Silo Emissions</t>
  </si>
  <si>
    <t>Cement Silo Emissions</t>
  </si>
  <si>
    <t>Supplement Silo Emissions</t>
  </si>
  <si>
    <t>The default composition of concrete is from AP-42 Ch. 11.12 Concrete Batching.  Footnote "a" from AP-42 Ch. 11.12 Table 11.12-2</t>
  </si>
  <si>
    <t>The emission factors are from AP-42 Ch. 11.12 Table 11.12-2.  The PM2.5 emission factors are based on a ratio of the aerodynamic particle size multipliers (k multiplier) represented in Aggregate Handling and Storage Piles AP-42 Ch. 13.2.4.  The emission factors for PM and PM10 listed in Ch. 11.12 for material transfer points are derived using the Aggregate Handling and Storage Piles AP-42 Ch. 13.2.4 equation.  See AP-42 Ch. 11.12 Table 11.12-2 footnote "b".</t>
  </si>
  <si>
    <t xml:space="preserve">Emission Factors for the stockpiles have the following units: lb of pollutant per acre per day.  The PM active and inactive emission factors are from "Cowherd, Jr., C. Development Of Emission Factors For Fugitive Dust Sources. EPA document  Number. EPA-450/3-74-037. Research Triangle Park: U. S. Environmental Protection, 1974".  PM10 is estimated as 50% of PM based on the "k" factors listed in Aggregate Handling and Storage Piles AP-42 Ch. 13.2.4.  The PM2.5 factor is derived from a ratio listed in the Background Document for Revisions to Fine Fraction Ratios Used for AP-42 Fugitive Dust Emission Factors (Ch. 13.2) and "k" factors listed in Aggregate Handling and Storage Piles AP-42 Ch. 13.2.4. </t>
  </si>
  <si>
    <t>Emission factors are not quantified for this potential emission point.  Since an emission factor was not quantified there are three preferred approaches: assume the emissions negligible if it is vented to another device meeting BACT;  treat it as a material drop point and apply a control efficiency; and the outlet grain loading method.  The control efficiency method is used in conjunction with the Aggregate Handling and Storage Piles AP-42 Ch. 13.2.4 equation to estimate emissions.  The same wind speed used to develop the aggregate drop point emission factors listed in AP-42 Ch. 11.12 Table 11.12-2 was used in the Ch.13 Equation.  The lowest acceptable moisture content of 0.25% was assumed.</t>
  </si>
  <si>
    <t xml:space="preserve">End of worksheet/workbook </t>
  </si>
  <si>
    <t xml:space="preserve">The emission factors are from AP-42 Ch. 11.12 Table 11.12-2.  Emission factor units are lb of pollutant per ton of material.  The emission factor for PM2.5 was assumed to be 17.1% of PM10.  The value of 17.1% represents the percentage of PM10 that is PM2.5 according to the worst case loading emission factors for a truck mix operation.  The PM2.5 factors listed in the AP-42 documents for truck and mixer loading are based on lbPM2.5 per ton cement and cement supplement (see Loading Emission Rates).  The worst case percentage of PM2.5 in PM10 from the EPA loading factors is 17.1%.     </t>
  </si>
  <si>
    <t>PM emission factor units are lb of pollutant per ton of cement and cement supplement.  Emission factors (PM &amp; PM10) are from AP-42 Ch. 11.12 Table 11.12-2.  The emission factors for PM2.5 are located in AP-42 Ch. 11.12 Background Document Table 18.6.  The default emissions captured by the suction shroud is the average listed in AP-42 Ch 11.12 Background Document Table 17.1 and Table 17.2.</t>
  </si>
  <si>
    <t>Use the maximum material mass flow rate?</t>
  </si>
  <si>
    <t xml:space="preserve"> General plant information worksheet.  Press the UP or DOWN arrow in column A to read through the document. Press TAB to move through the input areas.</t>
  </si>
  <si>
    <t>Silo emissions calulation worksheet.  Press the UP or DOWN arrow in column A to read through the document. Press TAB to move through input areas.</t>
  </si>
  <si>
    <t xml:space="preserve">Emissions summary table.  Press the UP or DOWN arrow in column A to read through the document.  Input cells for this worksheet are located in column A.    </t>
  </si>
  <si>
    <t xml:space="preserve"> Workbook summary and instructions.  Press the UP or DOWN arrow in column A to read through this worksheet.</t>
  </si>
  <si>
    <t xml:space="preserve"> Material handling and stockpile emissions calculation worksheet. Press the UP or DOWN arrow in column A to read through the document. Press TAB to move through input areas.</t>
  </si>
  <si>
    <t>Loading and baghouse emissions calculation worksheet.  Press the UP or DOWN arrow in column A to read through the document. Press TAB to move through input areas.</t>
  </si>
  <si>
    <t xml:space="preserve">The purpose of this worksheet is to provide information regarding the source of emission factors and capture efficiencies that were used througout this workbook.   Emission Factors are in units of pound (lb) of pollutant per ton of material (see footnote "a" from AP-42 Ch. 11.12 Table 11.12-2) unless specified otherwise.  </t>
  </si>
  <si>
    <t>Emission Point Numbers</t>
  </si>
  <si>
    <t>Cement Silo EPN(s)</t>
  </si>
  <si>
    <t>Cement Supplement Silo EPN(s)</t>
  </si>
  <si>
    <t>What is the central baghouse stack EPN?</t>
  </si>
  <si>
    <t>What is the EPN for fugitive emissions from central/truck mixer loading?</t>
  </si>
  <si>
    <t>Stockpile Emission Point Number</t>
  </si>
  <si>
    <r>
      <t xml:space="preserve">This worksheet compiles and displays the calculated emission rates for each source of air emissions listed within this workbook.    
</t>
    </r>
    <r>
      <rPr>
        <b/>
        <sz val="11"/>
        <color theme="1"/>
        <rFont val="Arial"/>
        <family val="2"/>
      </rPr>
      <t/>
    </r>
  </si>
  <si>
    <t>Concrete Batch Plant Emission Rate Calculation Workbook</t>
  </si>
  <si>
    <r>
      <t xml:space="preserve">This worksheet is used to document the material composition and maximum expected production level.  The values entered will be used to calculate the estimated emission rates in subsequent worksheets within this workbook.
</t>
    </r>
    <r>
      <rPr>
        <b/>
        <sz val="11"/>
        <rFont val="Arial"/>
        <family val="2"/>
      </rPr>
      <t>Instructions</t>
    </r>
    <r>
      <rPr>
        <sz val="11"/>
        <rFont val="Arial"/>
        <family val="2"/>
      </rPr>
      <t xml:space="preserve">:                                                                                                                   
1.  Enter the requested information in the input cells below, or if prompted, select the appropriate answer from the drop-down menu provided.                  </t>
    </r>
  </si>
  <si>
    <t>This worksheet is used to calculate emissions from material handling and stockpiles.  Enter the requested information in the input cells, or if prompted, select the appropriate answer using the drop-down menu provided.  
A list of commonly accepted emission control methods and their associated efficiency ratings are provided below:
Wet material =  50%
Water sprays =  70%
Chemical foam =  80%
Partial enclosure =  50 - 85%
Full enclosure =  90%
Enclosed by building = Up to 90%
Washed material =  95%
Washed material with water spray =  98.5%</t>
  </si>
  <si>
    <t xml:space="preserve">This worksheet is used to calculate emissions from storage silos.  Enter the requested information in the input cells below, or if prompted, select the appropriate answer from the drop-down menu provided.    </t>
  </si>
  <si>
    <t xml:space="preserve">This worksheet is used to calculate emissions from a baghouse stack and truck/mixer loading.  Enter the requested information in the input cells below, or if prompted, select the appropriate answer from the drop-down menu provided.  Emission rates are automatically calculated and displayed in the table at the bottom of the worksheet.  </t>
  </si>
  <si>
    <r>
      <t xml:space="preserve">Concrete Batch Plant Worksheet Version No.: </t>
    </r>
    <r>
      <rPr>
        <sz val="11"/>
        <color rgb="FF000000"/>
        <rFont val="Arial"/>
        <family val="2"/>
      </rPr>
      <t>Version 2.0</t>
    </r>
    <r>
      <rPr>
        <b/>
        <sz val="11"/>
        <color rgb="FF000000"/>
        <rFont val="Arial"/>
        <family val="2"/>
      </rPr>
      <t xml:space="preserve">
Last Revision Date: </t>
    </r>
    <r>
      <rPr>
        <sz val="11"/>
        <color rgb="FF000000"/>
        <rFont val="Arial"/>
        <family val="2"/>
      </rPr>
      <t>February 19, 2020</t>
    </r>
  </si>
  <si>
    <t xml:space="preserve">This workbook was developed to estimate emission rates from common concrete batching facilities using Environmental Protection Agency (EPA) emission factors and methodology.  The workbook is divided into 6 sections, each section can be accessed by the tabs at the bottom of the page.  Please provide the required facility information using the input cells located within each worksheet.  Avoid using "click and drag" or "cut and paste", instead use the tab button, arrow keys or click on each input cell individually.  Information regarding the emission factors used throughout this workbook can be found on the References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</si>
</sst>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
    <numFmt numFmtId="166" formatCode="#,##0.0"/>
    <numFmt numFmtId="167" formatCode="0.0"/>
  </numFmts>
  <fonts count="54"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
      <sz val="11"/>
      <color theme="1"/>
      <name val="Calibri"/>
      <family val="2"/>
      <scheme val="minor"/>
    </font>
    <font>
      <sz val="10"/>
      <name val="Arial"/>
      <family val="2"/>
    </font>
    <font>
      <u/>
      <sz val="10"/>
      <color indexed="12"/>
      <name val="Arial"/>
      <family val="2"/>
    </font>
    <font>
      <u/>
      <sz val="10"/>
      <color indexed="12"/>
      <name val="Arial"/>
      <family val="2"/>
    </font>
    <font>
      <sz val="10"/>
      <name val="Calibri"/>
      <family val="2"/>
      <scheme val="minor"/>
    </font>
    <font>
      <sz val="12"/>
      <name val="Calibri"/>
      <family val="2"/>
      <scheme val="minor"/>
    </font>
    <font>
      <b/>
      <sz val="10"/>
      <name val="Calibri"/>
      <family val="2"/>
      <scheme val="minor"/>
    </font>
    <font>
      <b/>
      <sz val="11"/>
      <name val="Calibri"/>
      <family val="2"/>
      <scheme val="minor"/>
    </font>
    <font>
      <b/>
      <sz val="12"/>
      <name val="Calibri"/>
      <family val="2"/>
      <scheme val="minor"/>
    </font>
    <font>
      <sz val="8"/>
      <name val="Calibri"/>
      <family val="2"/>
      <scheme val="minor"/>
    </font>
    <font>
      <i/>
      <sz val="10"/>
      <name val="Calibri"/>
      <family val="2"/>
      <scheme val="minor"/>
    </font>
    <font>
      <b/>
      <sz val="12"/>
      <color theme="1"/>
      <name val="Calibri"/>
      <family val="2"/>
      <scheme val="minor"/>
    </font>
    <font>
      <vertAlign val="subscript"/>
      <sz val="11"/>
      <color theme="1"/>
      <name val="Calibri"/>
      <family val="2"/>
      <scheme val="minor"/>
    </font>
    <font>
      <sz val="11"/>
      <color rgb="FFFF0000"/>
      <name val="Calibri"/>
      <family val="2"/>
      <scheme val="minor"/>
    </font>
    <font>
      <b/>
      <sz val="18"/>
      <color theme="1"/>
      <name val="Calibri"/>
      <family val="2"/>
      <scheme val="minor"/>
    </font>
    <font>
      <b/>
      <u/>
      <sz val="10"/>
      <color indexed="12"/>
      <name val="Arial"/>
      <family val="2"/>
    </font>
    <font>
      <b/>
      <sz val="16"/>
      <color indexed="8"/>
      <name val="Calibri"/>
      <family val="2"/>
      <scheme val="minor"/>
    </font>
    <font>
      <i/>
      <sz val="11"/>
      <color rgb="FF000000"/>
      <name val="Calibri"/>
      <family val="2"/>
      <scheme val="minor"/>
    </font>
    <font>
      <sz val="11"/>
      <color theme="0"/>
      <name val="Arial"/>
      <family val="2"/>
    </font>
    <font>
      <sz val="11"/>
      <color theme="1"/>
      <name val="Arial"/>
      <family val="2"/>
    </font>
    <font>
      <b/>
      <sz val="11"/>
      <name val="Arial"/>
      <family val="2"/>
    </font>
    <font>
      <b/>
      <sz val="11"/>
      <color theme="1"/>
      <name val="Arial"/>
      <family val="2"/>
    </font>
    <font>
      <b/>
      <sz val="12"/>
      <color theme="1"/>
      <name val="Arial"/>
      <family val="2"/>
    </font>
    <font>
      <sz val="11"/>
      <name val="Arial"/>
      <family val="2"/>
    </font>
    <font>
      <vertAlign val="superscript"/>
      <sz val="11"/>
      <name val="Arial"/>
      <family val="2"/>
    </font>
    <font>
      <b/>
      <sz val="10"/>
      <name val="Arial"/>
      <family val="2"/>
    </font>
    <font>
      <sz val="12"/>
      <name val="Arial"/>
      <family val="2"/>
    </font>
    <font>
      <b/>
      <sz val="16"/>
      <name val="Arial"/>
      <family val="2"/>
    </font>
    <font>
      <sz val="10"/>
      <color indexed="16"/>
      <name val="Arial"/>
      <family val="2"/>
    </font>
    <font>
      <b/>
      <sz val="14"/>
      <name val="Arial"/>
      <family val="2"/>
    </font>
    <font>
      <b/>
      <sz val="11"/>
      <color rgb="FFFF0000"/>
      <name val="Arial"/>
      <family val="2"/>
    </font>
    <font>
      <sz val="11"/>
      <color theme="0"/>
      <name val="Calibri"/>
      <family val="2"/>
      <scheme val="minor"/>
    </font>
    <font>
      <b/>
      <sz val="14"/>
      <color theme="1"/>
      <name val="Arial"/>
      <family val="2"/>
    </font>
    <font>
      <sz val="9"/>
      <color theme="0"/>
      <name val="Arial"/>
      <family val="2"/>
    </font>
    <font>
      <b/>
      <sz val="8"/>
      <color theme="1"/>
      <name val="Arial"/>
      <family val="2"/>
    </font>
    <font>
      <sz val="8"/>
      <name val="Arial"/>
      <family val="2"/>
    </font>
    <font>
      <b/>
      <sz val="8"/>
      <name val="Arial"/>
      <family val="2"/>
    </font>
    <font>
      <vertAlign val="subscript"/>
      <sz val="11"/>
      <color theme="1"/>
      <name val="Arial"/>
      <family val="2"/>
    </font>
    <font>
      <sz val="9"/>
      <color theme="1"/>
      <name val="Arial"/>
      <family val="2"/>
    </font>
    <font>
      <b/>
      <sz val="9"/>
      <color theme="1"/>
      <name val="Calibri"/>
      <family val="2"/>
      <scheme val="minor"/>
    </font>
    <font>
      <b/>
      <sz val="10"/>
      <color theme="1"/>
      <name val="Calibri"/>
      <family val="2"/>
      <scheme val="minor"/>
    </font>
    <font>
      <sz val="8"/>
      <color theme="1"/>
      <name val="Arial"/>
      <family val="2"/>
    </font>
    <font>
      <b/>
      <sz val="11"/>
      <color theme="0"/>
      <name val="Calibri"/>
      <family val="2"/>
      <scheme val="minor"/>
    </font>
    <font>
      <sz val="8"/>
      <color theme="0"/>
      <name val="Arial"/>
      <family val="2"/>
    </font>
    <font>
      <b/>
      <sz val="14"/>
      <color indexed="8"/>
      <name val="Arial"/>
      <family val="2"/>
    </font>
    <font>
      <b/>
      <sz val="11"/>
      <color theme="0"/>
      <name val="Arial"/>
      <family val="2"/>
    </font>
    <font>
      <sz val="8"/>
      <color theme="1"/>
      <name val="Calibri"/>
      <family val="2"/>
      <scheme val="minor"/>
    </font>
    <font>
      <sz val="10"/>
      <color theme="1"/>
      <name val="Arial"/>
      <family val="2"/>
    </font>
    <font>
      <b/>
      <sz val="11"/>
      <color rgb="FF000000"/>
      <name val="Arial"/>
      <family val="2"/>
    </font>
    <font>
      <sz val="11"/>
      <color rgb="FF000000"/>
      <name val="Arial"/>
      <family val="2"/>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14996795556505021"/>
        <bgColor indexed="64"/>
      </patternFill>
    </fill>
  </fills>
  <borders count="30">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thin">
        <color auto="1"/>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auto="1"/>
      </left>
      <right style="thin">
        <color indexed="64"/>
      </right>
      <top style="double">
        <color indexed="64"/>
      </top>
      <bottom style="thin">
        <color auto="1"/>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top style="double">
        <color indexed="64"/>
      </top>
      <bottom/>
      <diagonal/>
    </border>
    <border>
      <left/>
      <right/>
      <top style="thin">
        <color indexed="64"/>
      </top>
      <bottom style="double">
        <color indexed="64"/>
      </bottom>
      <diagonal/>
    </border>
    <border>
      <left/>
      <right style="thin">
        <color indexed="64"/>
      </right>
      <top style="double">
        <color indexed="64"/>
      </top>
      <bottom/>
      <diagonal/>
    </border>
    <border>
      <left/>
      <right/>
      <top style="thin">
        <color auto="1"/>
      </top>
      <bottom style="thin">
        <color auto="1"/>
      </bottom>
      <diagonal/>
    </border>
  </borders>
  <cellStyleXfs count="7">
    <xf numFmtId="0" fontId="0" fillId="0" borderId="0"/>
    <xf numFmtId="0" fontId="2" fillId="0" borderId="0" applyBorder="0"/>
    <xf numFmtId="0" fontId="2" fillId="0" borderId="0"/>
    <xf numFmtId="0" fontId="5" fillId="0" borderId="0"/>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 fillId="0" borderId="0"/>
  </cellStyleXfs>
  <cellXfs count="394">
    <xf numFmtId="0" fontId="0" fillId="0" borderId="0" xfId="0"/>
    <xf numFmtId="0" fontId="11" fillId="0" borderId="0" xfId="5" applyFont="1" applyFill="1" applyBorder="1" applyAlignment="1" applyProtection="1"/>
    <xf numFmtId="0" fontId="0" fillId="0" borderId="0" xfId="0"/>
    <xf numFmtId="0" fontId="15" fillId="0" borderId="0" xfId="0" applyFont="1"/>
    <xf numFmtId="0" fontId="3" fillId="0" borderId="0" xfId="2" applyFont="1" applyFill="1" applyBorder="1" applyAlignment="1" applyProtection="1">
      <alignment horizontal="center" vertical="center" wrapText="1"/>
    </xf>
    <xf numFmtId="0" fontId="11" fillId="0" borderId="0" xfId="2" applyFont="1" applyFill="1" applyBorder="1" applyAlignment="1" applyProtection="1">
      <alignment horizontal="center" vertical="center" wrapText="1"/>
    </xf>
    <xf numFmtId="0" fontId="18" fillId="2" borderId="0" xfId="0" applyFont="1" applyFill="1"/>
    <xf numFmtId="0" fontId="0" fillId="2" borderId="0" xfId="0" applyFill="1"/>
    <xf numFmtId="0" fontId="0" fillId="0" borderId="0" xfId="0" applyAlignment="1">
      <alignment horizontal="center" vertical="center"/>
    </xf>
    <xf numFmtId="0" fontId="0" fillId="0" borderId="0" xfId="0" applyFont="1" applyProtection="1"/>
    <xf numFmtId="0" fontId="0" fillId="0" borderId="0" xfId="0" applyFont="1" applyBorder="1" applyAlignment="1" applyProtection="1">
      <alignment horizontal="center" vertical="center"/>
    </xf>
    <xf numFmtId="0" fontId="8" fillId="0" borderId="0" xfId="2"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Border="1" applyProtection="1"/>
    <xf numFmtId="0" fontId="0" fillId="0" borderId="0" xfId="0" applyFont="1" applyAlignment="1" applyProtection="1">
      <alignment horizontal="center" vertical="center"/>
    </xf>
    <xf numFmtId="0" fontId="0" fillId="0" borderId="0" xfId="0" applyAlignment="1" applyProtection="1"/>
    <xf numFmtId="0" fontId="0" fillId="0" borderId="0" xfId="0" applyFill="1" applyAlignment="1" applyProtection="1"/>
    <xf numFmtId="3" fontId="3" fillId="0" borderId="0" xfId="2" applyNumberFormat="1" applyFont="1" applyFill="1" applyBorder="1" applyAlignment="1" applyProtection="1">
      <alignment horizontal="center" vertical="center" wrapText="1"/>
    </xf>
    <xf numFmtId="0" fontId="10" fillId="0" borderId="0" xfId="5" applyFont="1" applyFill="1" applyBorder="1" applyAlignment="1" applyProtection="1">
      <alignment horizontal="center" vertical="center"/>
    </xf>
    <xf numFmtId="0" fontId="0" fillId="0" borderId="0" xfId="0" applyProtection="1"/>
    <xf numFmtId="0" fontId="4" fillId="0" borderId="0" xfId="0" applyFont="1" applyBorder="1" applyAlignment="1" applyProtection="1">
      <alignment horizontal="center" vertical="center"/>
    </xf>
    <xf numFmtId="0" fontId="4" fillId="0" borderId="0" xfId="0" applyFont="1" applyBorder="1" applyProtection="1"/>
    <xf numFmtId="0" fontId="11" fillId="0" borderId="0" xfId="5" applyFont="1" applyBorder="1" applyAlignment="1" applyProtection="1"/>
    <xf numFmtId="0" fontId="3" fillId="0" borderId="0" xfId="2" applyFont="1" applyFill="1" applyBorder="1" applyProtection="1"/>
    <xf numFmtId="0" fontId="8" fillId="0" borderId="0" xfId="2" applyFont="1" applyFill="1" applyBorder="1" applyProtection="1"/>
    <xf numFmtId="0" fontId="12" fillId="0" borderId="0" xfId="2" applyFont="1" applyFill="1" applyBorder="1" applyProtection="1"/>
    <xf numFmtId="0" fontId="9" fillId="0" borderId="0" xfId="2" applyFont="1" applyFill="1" applyBorder="1" applyProtection="1"/>
    <xf numFmtId="0" fontId="13" fillId="0" borderId="0" xfId="2" applyFont="1" applyFill="1" applyBorder="1" applyProtection="1"/>
    <xf numFmtId="0" fontId="9" fillId="0" borderId="0" xfId="2" applyFont="1" applyFill="1" applyBorder="1" applyAlignment="1" applyProtection="1">
      <alignment horizontal="center"/>
    </xf>
    <xf numFmtId="0" fontId="9" fillId="0" borderId="0" xfId="2" applyFont="1" applyFill="1" applyBorder="1" applyAlignment="1" applyProtection="1"/>
    <xf numFmtId="0" fontId="14" fillId="0" borderId="0" xfId="2" applyFont="1" applyFill="1" applyBorder="1" applyProtection="1"/>
    <xf numFmtId="167" fontId="14" fillId="0" borderId="0" xfId="2" applyNumberFormat="1" applyFont="1" applyFill="1" applyBorder="1" applyProtection="1"/>
    <xf numFmtId="0" fontId="0" fillId="0" borderId="0" xfId="0" applyFill="1" applyProtection="1"/>
    <xf numFmtId="0" fontId="0" fillId="0" borderId="0" xfId="0" applyFill="1" applyBorder="1" applyProtection="1"/>
    <xf numFmtId="164" fontId="0" fillId="0" borderId="0" xfId="0" applyNumberFormat="1" applyFill="1" applyBorder="1" applyAlignment="1" applyProtection="1">
      <alignment horizontal="center" vertical="center"/>
    </xf>
    <xf numFmtId="0" fontId="0" fillId="0" borderId="0" xfId="0" applyAlignment="1" applyProtection="1">
      <alignment horizontal="center" vertical="center"/>
    </xf>
    <xf numFmtId="0" fontId="0" fillId="0" borderId="8" xfId="0" applyBorder="1" applyAlignment="1" applyProtection="1">
      <alignment horizontal="center" vertical="center"/>
    </xf>
    <xf numFmtId="0" fontId="0" fillId="0" borderId="12" xfId="0" applyBorder="1" applyAlignment="1" applyProtection="1">
      <alignment horizontal="center" vertical="center"/>
    </xf>
    <xf numFmtId="0" fontId="17" fillId="0" borderId="0" xfId="0" applyFont="1" applyFill="1" applyProtection="1"/>
    <xf numFmtId="164" fontId="0" fillId="0" borderId="12" xfId="0" applyNumberFormat="1" applyBorder="1" applyAlignment="1" applyProtection="1">
      <alignment horizontal="center" vertical="center"/>
    </xf>
    <xf numFmtId="0" fontId="0" fillId="0" borderId="0" xfId="0" applyFill="1" applyAlignment="1" applyProtection="1">
      <alignment horizontal="center" vertical="center"/>
    </xf>
    <xf numFmtId="166" fontId="0" fillId="0" borderId="0" xfId="0" applyNumberFormat="1" applyFill="1" applyAlignment="1" applyProtection="1">
      <alignment horizontal="center" vertical="center"/>
    </xf>
    <xf numFmtId="3" fontId="0" fillId="0" borderId="0" xfId="0" applyNumberFormat="1" applyFill="1" applyAlignment="1" applyProtection="1">
      <alignment horizontal="center" vertical="center"/>
    </xf>
    <xf numFmtId="164" fontId="0" fillId="0" borderId="0" xfId="0" applyNumberFormat="1" applyFill="1" applyAlignment="1" applyProtection="1">
      <alignment horizontal="center" vertical="center"/>
    </xf>
    <xf numFmtId="165" fontId="0" fillId="0" borderId="6" xfId="0" applyNumberFormat="1" applyBorder="1" applyAlignment="1" applyProtection="1">
      <alignment horizontal="center" vertical="center"/>
    </xf>
    <xf numFmtId="0" fontId="0" fillId="0" borderId="0" xfId="0" applyFont="1" applyFill="1" applyBorder="1" applyAlignment="1" applyProtection="1">
      <alignment vertical="center" wrapText="1"/>
    </xf>
    <xf numFmtId="0" fontId="0" fillId="0" borderId="0" xfId="0" applyFill="1" applyBorder="1" applyAlignment="1" applyProtection="1">
      <alignment horizontal="left" vertical="center"/>
    </xf>
    <xf numFmtId="0" fontId="19" fillId="0" borderId="0" xfId="4" applyFont="1" applyAlignment="1" applyProtection="1">
      <alignment horizontal="center" vertical="center"/>
      <protection locked="0"/>
    </xf>
    <xf numFmtId="0" fontId="0" fillId="0" borderId="0" xfId="0" applyBorder="1" applyAlignment="1" applyProtection="1">
      <alignment horizontal="center" vertical="center"/>
      <protection locked="0"/>
    </xf>
    <xf numFmtId="3" fontId="0" fillId="0" borderId="0" xfId="0" applyNumberFormat="1" applyBorder="1" applyAlignment="1" applyProtection="1">
      <alignment horizontal="center"/>
      <protection locked="0"/>
    </xf>
    <xf numFmtId="0" fontId="0" fillId="0" borderId="0" xfId="0" applyFill="1" applyProtection="1">
      <protection locked="0"/>
    </xf>
    <xf numFmtId="165" fontId="0" fillId="0" borderId="0" xfId="0" applyNumberFormat="1" applyBorder="1" applyAlignment="1" applyProtection="1">
      <alignment horizontal="center" vertical="center"/>
    </xf>
    <xf numFmtId="0" fontId="1" fillId="0" borderId="0" xfId="0" applyFont="1" applyFill="1" applyBorder="1" applyAlignment="1" applyProtection="1">
      <alignment vertical="center" wrapText="1"/>
    </xf>
    <xf numFmtId="0" fontId="21" fillId="0" borderId="0" xfId="0" applyFont="1"/>
    <xf numFmtId="0" fontId="19" fillId="0" borderId="0" xfId="4" applyFont="1" applyAlignment="1" applyProtection="1">
      <alignment horizontal="center" vertical="center"/>
      <protection locked="0"/>
    </xf>
    <xf numFmtId="0" fontId="0" fillId="0" borderId="0" xfId="0" applyFont="1" applyAlignment="1" applyProtection="1">
      <alignment horizontal="center"/>
    </xf>
    <xf numFmtId="0" fontId="23" fillId="0" borderId="0" xfId="0" applyFont="1" applyProtection="1"/>
    <xf numFmtId="0" fontId="23" fillId="0" borderId="0" xfId="0" applyFont="1" applyBorder="1" applyProtection="1"/>
    <xf numFmtId="0" fontId="27" fillId="0" borderId="0" xfId="2" applyFont="1" applyProtection="1"/>
    <xf numFmtId="0" fontId="27" fillId="0" borderId="0" xfId="2" applyFont="1" applyBorder="1" applyProtection="1"/>
    <xf numFmtId="0" fontId="24" fillId="0" borderId="0" xfId="5" applyFont="1" applyAlignment="1" applyProtection="1"/>
    <xf numFmtId="0" fontId="23" fillId="0" borderId="0" xfId="0" applyFont="1" applyBorder="1" applyAlignment="1" applyProtection="1"/>
    <xf numFmtId="0" fontId="24" fillId="0" borderId="0" xfId="5" applyFont="1" applyBorder="1" applyAlignment="1" applyProtection="1"/>
    <xf numFmtId="0" fontId="24" fillId="0" borderId="0" xfId="5" applyFont="1" applyFill="1" applyBorder="1" applyAlignment="1" applyProtection="1"/>
    <xf numFmtId="0" fontId="27" fillId="0" borderId="0" xfId="2" applyFont="1" applyFill="1" applyBorder="1" applyProtection="1"/>
    <xf numFmtId="0" fontId="25" fillId="0" borderId="0" xfId="0" applyFont="1" applyBorder="1" applyAlignment="1" applyProtection="1">
      <alignment vertical="center" wrapText="1"/>
    </xf>
    <xf numFmtId="0" fontId="27" fillId="0" borderId="0" xfId="5" applyFont="1" applyFill="1" applyBorder="1" applyAlignment="1" applyProtection="1">
      <alignment vertical="center"/>
    </xf>
    <xf numFmtId="0" fontId="24" fillId="0" borderId="1" xfId="5" applyFont="1" applyFill="1" applyBorder="1" applyAlignment="1" applyProtection="1">
      <alignment horizontal="center" vertical="center"/>
    </xf>
    <xf numFmtId="0" fontId="25" fillId="0" borderId="1" xfId="0" applyFont="1" applyFill="1" applyBorder="1" applyAlignment="1" applyProtection="1">
      <alignment horizontal="center" vertical="center"/>
    </xf>
    <xf numFmtId="0" fontId="23" fillId="0" borderId="9"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4" fillId="0" borderId="0" xfId="2" applyFont="1" applyFill="1" applyBorder="1" applyAlignment="1" applyProtection="1"/>
    <xf numFmtId="0" fontId="27" fillId="0" borderId="0" xfId="2" applyFont="1" applyFill="1" applyBorder="1" applyAlignment="1" applyProtection="1">
      <alignment horizontal="center"/>
    </xf>
    <xf numFmtId="0" fontId="2" fillId="0" borderId="0" xfId="2" applyFont="1" applyFill="1" applyBorder="1" applyProtection="1"/>
    <xf numFmtId="0" fontId="30" fillId="0" borderId="0" xfId="2" applyFont="1" applyFill="1" applyBorder="1" applyProtection="1"/>
    <xf numFmtId="2" fontId="30" fillId="0" borderId="0" xfId="2" applyNumberFormat="1" applyFont="1" applyFill="1" applyBorder="1" applyAlignment="1" applyProtection="1">
      <alignment horizontal="center" vertical="center"/>
    </xf>
    <xf numFmtId="0" fontId="31" fillId="0" borderId="0" xfId="5" applyFont="1" applyFill="1" applyBorder="1" applyAlignment="1" applyProtection="1">
      <alignment vertical="center"/>
    </xf>
    <xf numFmtId="0" fontId="2" fillId="0" borderId="0" xfId="2" applyFont="1" applyFill="1" applyBorder="1" applyAlignment="1" applyProtection="1">
      <alignment horizontal="left"/>
    </xf>
    <xf numFmtId="0" fontId="6" fillId="0" borderId="0" xfId="5" applyFont="1" applyFill="1" applyBorder="1" applyAlignment="1" applyProtection="1"/>
    <xf numFmtId="0" fontId="31" fillId="0" borderId="0" xfId="5" applyFont="1" applyFill="1" applyBorder="1" applyAlignment="1" applyProtection="1">
      <alignment horizontal="center" vertical="center"/>
    </xf>
    <xf numFmtId="0" fontId="29" fillId="0" borderId="0" xfId="2" applyFont="1" applyFill="1" applyBorder="1" applyAlignment="1" applyProtection="1"/>
    <xf numFmtId="0" fontId="2" fillId="0" borderId="0" xfId="2" applyFont="1" applyFill="1" applyBorder="1" applyAlignment="1" applyProtection="1">
      <alignment horizontal="center"/>
    </xf>
    <xf numFmtId="0" fontId="32" fillId="0" borderId="0" xfId="2" applyFont="1" applyFill="1" applyBorder="1" applyAlignment="1" applyProtection="1">
      <alignment horizontal="center"/>
    </xf>
    <xf numFmtId="0" fontId="30" fillId="0" borderId="0" xfId="2" applyFont="1" applyFill="1" applyBorder="1" applyAlignment="1" applyProtection="1">
      <alignment horizontal="center"/>
    </xf>
    <xf numFmtId="0" fontId="23" fillId="0" borderId="0" xfId="0" applyFont="1"/>
    <xf numFmtId="0" fontId="33" fillId="0" borderId="0" xfId="2" applyFont="1" applyAlignment="1" applyProtection="1">
      <alignment horizontal="center"/>
    </xf>
    <xf numFmtId="0" fontId="3" fillId="0" borderId="0" xfId="2" applyFont="1" applyBorder="1" applyAlignment="1" applyProtection="1">
      <alignment horizontal="center" vertical="center"/>
    </xf>
    <xf numFmtId="0" fontId="34" fillId="0" borderId="0" xfId="0" applyFont="1" applyAlignment="1" applyProtection="1">
      <alignment vertical="center" wrapText="1"/>
    </xf>
    <xf numFmtId="0" fontId="34" fillId="0" borderId="0" xfId="0" applyFont="1" applyAlignment="1" applyProtection="1">
      <alignment horizontal="left" vertical="center" wrapText="1"/>
    </xf>
    <xf numFmtId="0" fontId="24" fillId="0" borderId="0" xfId="2" applyFont="1" applyFill="1" applyBorder="1" applyAlignment="1" applyProtection="1">
      <alignment horizontal="center"/>
    </xf>
    <xf numFmtId="0" fontId="27" fillId="0" borderId="0" xfId="2" applyFont="1" applyFill="1" applyBorder="1" applyAlignment="1" applyProtection="1">
      <alignment vertical="center" wrapText="1"/>
    </xf>
    <xf numFmtId="164" fontId="27" fillId="0" borderId="0" xfId="2" applyNumberFormat="1" applyFont="1" applyFill="1" applyBorder="1" applyAlignment="1" applyProtection="1">
      <alignment horizontal="center" vertical="center"/>
    </xf>
    <xf numFmtId="0" fontId="22" fillId="0" borderId="0" xfId="0" applyFont="1" applyAlignment="1" applyProtection="1"/>
    <xf numFmtId="0" fontId="23" fillId="3" borderId="1" xfId="0" applyFont="1" applyFill="1" applyBorder="1" applyAlignment="1" applyProtection="1">
      <alignment horizontal="center" vertical="center"/>
      <protection locked="0"/>
    </xf>
    <xf numFmtId="0" fontId="23" fillId="0" borderId="5" xfId="0" applyFont="1" applyBorder="1" applyAlignment="1" applyProtection="1">
      <alignment horizontal="center" vertical="center" wrapText="1"/>
    </xf>
    <xf numFmtId="0" fontId="27" fillId="0" borderId="5" xfId="2" applyFont="1" applyBorder="1" applyAlignment="1" applyProtection="1">
      <alignment horizontal="center" vertical="center"/>
    </xf>
    <xf numFmtId="0" fontId="27" fillId="0" borderId="16" xfId="2" applyFont="1" applyBorder="1" applyAlignment="1" applyProtection="1">
      <alignment horizontal="center" vertical="center"/>
    </xf>
    <xf numFmtId="0" fontId="27" fillId="0" borderId="5" xfId="2" applyFont="1" applyBorder="1" applyAlignment="1" applyProtection="1">
      <alignment horizontal="center" vertical="center" wrapText="1"/>
    </xf>
    <xf numFmtId="0" fontId="27" fillId="0" borderId="16" xfId="2" applyFont="1" applyBorder="1" applyAlignment="1" applyProtection="1">
      <alignment horizontal="center" vertical="center" wrapText="1"/>
    </xf>
    <xf numFmtId="0" fontId="23" fillId="0" borderId="6" xfId="0" applyFont="1" applyBorder="1" applyAlignment="1" applyProtection="1">
      <alignment horizontal="center"/>
    </xf>
    <xf numFmtId="0" fontId="23" fillId="0" borderId="2" xfId="0" applyFont="1" applyBorder="1" applyAlignment="1" applyProtection="1">
      <alignment horizontal="center"/>
    </xf>
    <xf numFmtId="0" fontId="33" fillId="4" borderId="19" xfId="2" applyFont="1" applyFill="1" applyBorder="1" applyAlignment="1" applyProtection="1">
      <alignment vertical="center"/>
    </xf>
    <xf numFmtId="0" fontId="33" fillId="4" borderId="20" xfId="2" applyFont="1" applyFill="1" applyBorder="1" applyAlignment="1" applyProtection="1">
      <alignment vertical="center"/>
    </xf>
    <xf numFmtId="0" fontId="23" fillId="0" borderId="2" xfId="0" applyFont="1" applyFill="1" applyBorder="1" applyAlignment="1" applyProtection="1">
      <alignment horizontal="center" vertical="center"/>
    </xf>
    <xf numFmtId="3" fontId="23" fillId="3" borderId="17" xfId="0" applyNumberFormat="1" applyFont="1" applyFill="1" applyBorder="1" applyAlignment="1" applyProtection="1">
      <alignment horizontal="center" vertical="center"/>
      <protection locked="0"/>
    </xf>
    <xf numFmtId="166" fontId="23" fillId="0" borderId="9" xfId="0" applyNumberFormat="1" applyFont="1" applyFill="1" applyBorder="1" applyAlignment="1" applyProtection="1">
      <alignment horizontal="center" vertical="center"/>
    </xf>
    <xf numFmtId="166" fontId="23" fillId="0" borderId="1" xfId="0" applyNumberFormat="1" applyFont="1" applyFill="1" applyBorder="1" applyAlignment="1" applyProtection="1">
      <alignment horizontal="center" vertical="center"/>
    </xf>
    <xf numFmtId="3" fontId="23" fillId="0" borderId="6" xfId="0" applyNumberFormat="1" applyFont="1" applyFill="1" applyBorder="1" applyAlignment="1" applyProtection="1">
      <alignment horizontal="center" vertical="center"/>
    </xf>
    <xf numFmtId="166" fontId="23" fillId="0" borderId="10" xfId="0" applyNumberFormat="1" applyFont="1" applyFill="1" applyBorder="1" applyAlignment="1" applyProtection="1">
      <alignment horizontal="center" vertical="center"/>
    </xf>
    <xf numFmtId="3" fontId="23" fillId="0" borderId="2" xfId="0" applyNumberFormat="1" applyFont="1" applyFill="1" applyBorder="1" applyAlignment="1" applyProtection="1">
      <alignment horizontal="center" vertical="center"/>
    </xf>
    <xf numFmtId="0" fontId="23" fillId="0" borderId="0" xfId="0" applyFont="1" applyBorder="1" applyAlignment="1" applyProtection="1">
      <alignment horizontal="center" vertical="center"/>
      <protection locked="0"/>
    </xf>
    <xf numFmtId="0" fontId="23" fillId="0" borderId="0" xfId="0" applyFont="1" applyBorder="1" applyAlignment="1" applyProtection="1">
      <alignment horizontal="center" vertical="center"/>
    </xf>
    <xf numFmtId="0" fontId="23" fillId="0" borderId="0" xfId="0" applyFont="1" applyFill="1" applyBorder="1" applyAlignment="1" applyProtection="1">
      <alignment horizontal="center" vertical="center"/>
      <protection locked="0"/>
    </xf>
    <xf numFmtId="3" fontId="23" fillId="0" borderId="0" xfId="0" applyNumberFormat="1" applyFont="1" applyFill="1" applyBorder="1" applyAlignment="1" applyProtection="1">
      <alignment horizontal="center" vertical="center"/>
      <protection locked="0"/>
    </xf>
    <xf numFmtId="3" fontId="23" fillId="0" borderId="0" xfId="0" applyNumberFormat="1" applyFont="1" applyBorder="1" applyAlignment="1" applyProtection="1">
      <alignment horizontal="center"/>
      <protection locked="0"/>
    </xf>
    <xf numFmtId="165" fontId="23" fillId="0" borderId="0" xfId="0" applyNumberFormat="1" applyFont="1" applyFill="1" applyBorder="1" applyAlignment="1" applyProtection="1">
      <alignment horizontal="center" vertical="center"/>
    </xf>
    <xf numFmtId="165" fontId="23" fillId="0" borderId="0" xfId="0" applyNumberFormat="1" applyFont="1" applyBorder="1" applyAlignment="1" applyProtection="1">
      <alignment horizontal="center" vertical="center"/>
    </xf>
    <xf numFmtId="0" fontId="23" fillId="0" borderId="0" xfId="0" applyFont="1" applyFill="1" applyProtection="1"/>
    <xf numFmtId="165" fontId="27" fillId="0" borderId="12" xfId="0" applyNumberFormat="1" applyFont="1" applyFill="1" applyBorder="1" applyAlignment="1" applyProtection="1">
      <alignment horizontal="center" vertical="center"/>
    </xf>
    <xf numFmtId="0" fontId="23" fillId="0" borderId="0" xfId="0" applyFont="1" applyBorder="1" applyAlignment="1" applyProtection="1">
      <alignment horizontal="center" vertical="center" wrapText="1"/>
    </xf>
    <xf numFmtId="2" fontId="23" fillId="0" borderId="0" xfId="0" applyNumberFormat="1" applyFont="1" applyBorder="1" applyAlignment="1" applyProtection="1">
      <alignment horizontal="center" vertical="center"/>
    </xf>
    <xf numFmtId="0" fontId="24" fillId="0" borderId="0" xfId="2" applyFont="1" applyFill="1" applyBorder="1" applyAlignment="1" applyProtection="1">
      <alignment horizontal="left" vertical="top"/>
    </xf>
    <xf numFmtId="0" fontId="36" fillId="0" borderId="0" xfId="0" applyFont="1" applyBorder="1" applyAlignment="1" applyProtection="1">
      <alignment vertical="center"/>
    </xf>
    <xf numFmtId="0" fontId="27" fillId="3" borderId="6" xfId="0" applyFont="1" applyFill="1" applyBorder="1" applyAlignment="1" applyProtection="1">
      <alignment horizontal="center" vertical="center"/>
      <protection locked="0"/>
    </xf>
    <xf numFmtId="0" fontId="27" fillId="3" borderId="12" xfId="0" applyFont="1" applyFill="1" applyBorder="1" applyAlignment="1" applyProtection="1">
      <alignment horizontal="center" vertical="center"/>
      <protection locked="0"/>
    </xf>
    <xf numFmtId="0" fontId="27" fillId="3" borderId="17" xfId="2" applyFont="1" applyFill="1" applyBorder="1" applyAlignment="1" applyProtection="1">
      <alignment horizontal="center" vertical="center" wrapText="1"/>
      <protection locked="0"/>
    </xf>
    <xf numFmtId="0" fontId="23" fillId="0" borderId="0" xfId="0" applyFont="1" applyAlignment="1" applyProtection="1"/>
    <xf numFmtId="0" fontId="0" fillId="0" borderId="0" xfId="0" applyFont="1" applyFill="1" applyProtection="1"/>
    <xf numFmtId="0" fontId="22" fillId="0" borderId="0" xfId="0" applyFont="1" applyBorder="1" applyAlignment="1" applyProtection="1">
      <alignment horizontal="center"/>
    </xf>
    <xf numFmtId="0" fontId="22" fillId="0" borderId="0" xfId="0" applyFont="1" applyBorder="1" applyAlignment="1" applyProtection="1">
      <alignment horizontal="center" wrapText="1"/>
    </xf>
    <xf numFmtId="0" fontId="23" fillId="0" borderId="16" xfId="0" applyFont="1" applyBorder="1" applyAlignment="1" applyProtection="1">
      <alignment horizontal="center" wrapText="1"/>
    </xf>
    <xf numFmtId="0" fontId="37" fillId="0" borderId="0" xfId="0" applyFont="1" applyBorder="1" applyAlignment="1" applyProtection="1">
      <alignment horizontal="center"/>
    </xf>
    <xf numFmtId="0" fontId="22" fillId="0" borderId="0" xfId="0" applyFont="1" applyBorder="1" applyAlignment="1" applyProtection="1">
      <alignment horizontal="center" vertical="center"/>
    </xf>
    <xf numFmtId="0" fontId="0" fillId="0" borderId="0" xfId="0" applyBorder="1" applyProtection="1"/>
    <xf numFmtId="3" fontId="27" fillId="3" borderId="12" xfId="0" applyNumberFormat="1" applyFont="1" applyFill="1" applyBorder="1" applyAlignment="1" applyProtection="1">
      <alignment horizontal="center" vertical="center"/>
      <protection locked="0"/>
    </xf>
    <xf numFmtId="0" fontId="23" fillId="0" borderId="0" xfId="0" applyFont="1" applyAlignment="1">
      <alignment horizontal="center" vertical="center"/>
    </xf>
    <xf numFmtId="0" fontId="23" fillId="0" borderId="0" xfId="0" applyFont="1" applyAlignment="1">
      <alignment horizontal="left" vertical="center"/>
    </xf>
    <xf numFmtId="0" fontId="0" fillId="0" borderId="0" xfId="0" applyAlignment="1" applyProtection="1">
      <alignment horizontal="center" vertical="center"/>
    </xf>
    <xf numFmtId="0" fontId="0" fillId="0" borderId="0" xfId="0" applyBorder="1" applyProtection="1"/>
    <xf numFmtId="0" fontId="0" fillId="0" borderId="0" xfId="0" applyFont="1" applyFill="1" applyBorder="1" applyAlignment="1" applyProtection="1">
      <alignment horizontal="center" vertical="center"/>
      <protection locked="0"/>
    </xf>
    <xf numFmtId="3" fontId="23" fillId="0" borderId="0" xfId="0" applyNumberFormat="1" applyFont="1" applyFill="1" applyBorder="1" applyAlignment="1" applyProtection="1">
      <alignment horizontal="center"/>
      <protection locked="0"/>
    </xf>
    <xf numFmtId="164" fontId="0" fillId="0" borderId="0" xfId="0" applyNumberFormat="1" applyBorder="1" applyAlignment="1" applyProtection="1">
      <alignment horizontal="center" vertical="center"/>
    </xf>
    <xf numFmtId="0" fontId="23" fillId="0" borderId="0" xfId="0" applyFont="1" applyAlignment="1" applyProtection="1">
      <alignment horizontal="center" vertical="center"/>
    </xf>
    <xf numFmtId="164" fontId="23" fillId="0" borderId="0" xfId="0" applyNumberFormat="1" applyFont="1" applyBorder="1" applyAlignment="1" applyProtection="1">
      <alignment horizontal="center" vertical="center"/>
    </xf>
    <xf numFmtId="0" fontId="23" fillId="0" borderId="8" xfId="0" applyFont="1" applyBorder="1" applyAlignment="1" applyProtection="1">
      <alignment horizontal="center" vertical="center"/>
    </xf>
    <xf numFmtId="0" fontId="23" fillId="0" borderId="12" xfId="0" applyFont="1" applyBorder="1" applyAlignment="1" applyProtection="1">
      <alignment horizontal="center" vertical="center"/>
    </xf>
    <xf numFmtId="2" fontId="27" fillId="0" borderId="0" xfId="0" applyNumberFormat="1" applyFont="1" applyFill="1" applyBorder="1" applyAlignment="1" applyProtection="1">
      <alignment horizontal="center" vertical="center"/>
    </xf>
    <xf numFmtId="3" fontId="27" fillId="0" borderId="0" xfId="0" applyNumberFormat="1" applyFont="1" applyFill="1" applyBorder="1" applyAlignment="1" applyProtection="1">
      <alignment horizontal="center" vertical="center"/>
    </xf>
    <xf numFmtId="164" fontId="27" fillId="0" borderId="0" xfId="0" applyNumberFormat="1" applyFont="1" applyFill="1" applyBorder="1" applyAlignment="1" applyProtection="1">
      <alignment horizontal="center" vertical="center"/>
    </xf>
    <xf numFmtId="0" fontId="26" fillId="0" borderId="0" xfId="0" applyFont="1" applyBorder="1" applyAlignment="1" applyProtection="1">
      <alignment horizontal="left" vertical="center" wrapText="1"/>
    </xf>
    <xf numFmtId="3" fontId="27" fillId="0" borderId="12" xfId="0" applyNumberFormat="1" applyFont="1" applyFill="1" applyBorder="1" applyAlignment="1" applyProtection="1">
      <alignment horizontal="center" vertical="center"/>
    </xf>
    <xf numFmtId="0" fontId="27" fillId="0" borderId="12" xfId="0" applyFont="1" applyFill="1" applyBorder="1" applyAlignment="1" applyProtection="1">
      <alignment horizontal="center" vertical="center"/>
      <protection locked="0"/>
    </xf>
    <xf numFmtId="164" fontId="23" fillId="0" borderId="6" xfId="0" applyNumberFormat="1" applyFont="1" applyBorder="1" applyAlignment="1" applyProtection="1">
      <alignment horizontal="center" vertical="center"/>
    </xf>
    <xf numFmtId="164" fontId="23" fillId="0" borderId="12" xfId="0" applyNumberFormat="1" applyFont="1" applyBorder="1" applyAlignment="1" applyProtection="1">
      <alignment horizontal="center" vertical="center"/>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center" vertical="center" wrapText="1"/>
    </xf>
    <xf numFmtId="2" fontId="24" fillId="0" borderId="0" xfId="0" applyNumberFormat="1" applyFont="1" applyFill="1" applyBorder="1" applyAlignment="1" applyProtection="1">
      <alignment vertical="center"/>
      <protection locked="0"/>
    </xf>
    <xf numFmtId="0" fontId="43" fillId="0" borderId="0" xfId="0" applyFont="1" applyFill="1" applyBorder="1" applyAlignment="1" applyProtection="1">
      <alignment vertical="top" wrapText="1"/>
    </xf>
    <xf numFmtId="0" fontId="0" fillId="0" borderId="0" xfId="0" applyAlignment="1" applyProtection="1">
      <alignment horizontal="left"/>
    </xf>
    <xf numFmtId="0" fontId="23" fillId="3" borderId="15" xfId="0" applyFont="1" applyFill="1" applyBorder="1" applyAlignment="1" applyProtection="1">
      <alignment horizontal="center" vertical="center"/>
      <protection locked="0"/>
    </xf>
    <xf numFmtId="0" fontId="25" fillId="0" borderId="2" xfId="0" applyFont="1" applyBorder="1" applyAlignment="1" applyProtection="1">
      <alignment horizontal="center" vertical="center"/>
    </xf>
    <xf numFmtId="0" fontId="25" fillId="0" borderId="18" xfId="0" applyFont="1" applyBorder="1" applyAlignment="1" applyProtection="1">
      <alignment horizontal="center" vertical="center" wrapText="1"/>
    </xf>
    <xf numFmtId="165" fontId="22" fillId="0" borderId="1" xfId="0" applyNumberFormat="1" applyFont="1" applyFill="1" applyBorder="1" applyAlignment="1" applyProtection="1">
      <alignment horizontal="center" vertical="center"/>
    </xf>
    <xf numFmtId="0" fontId="27" fillId="3" borderId="2" xfId="2" applyFont="1" applyFill="1" applyBorder="1" applyAlignment="1" applyProtection="1">
      <alignment horizontal="center" wrapText="1"/>
      <protection locked="0"/>
    </xf>
    <xf numFmtId="3" fontId="25" fillId="0" borderId="2" xfId="0" applyNumberFormat="1" applyFont="1" applyFill="1" applyBorder="1" applyAlignment="1" applyProtection="1">
      <alignment horizontal="center" vertical="center"/>
    </xf>
    <xf numFmtId="49" fontId="23" fillId="0" borderId="0" xfId="0" applyNumberFormat="1"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protection locked="0"/>
    </xf>
    <xf numFmtId="3" fontId="23" fillId="0" borderId="6" xfId="0" applyNumberFormat="1" applyFont="1" applyFill="1" applyBorder="1" applyAlignment="1" applyProtection="1">
      <alignment horizontal="center" vertical="center"/>
      <protection locked="0"/>
    </xf>
    <xf numFmtId="49" fontId="23" fillId="3" borderId="2" xfId="0" quotePrefix="1" applyNumberFormat="1" applyFont="1" applyFill="1" applyBorder="1" applyAlignment="1" applyProtection="1">
      <alignment horizontal="center" vertical="center"/>
      <protection locked="0"/>
    </xf>
    <xf numFmtId="49" fontId="23" fillId="0" borderId="0" xfId="0" quotePrefix="1" applyNumberFormat="1" applyFont="1" applyFill="1" applyBorder="1" applyAlignment="1" applyProtection="1">
      <alignment horizontal="center" vertical="center"/>
      <protection locked="0"/>
    </xf>
    <xf numFmtId="0" fontId="36" fillId="0" borderId="0" xfId="0" applyFont="1" applyAlignment="1">
      <alignment vertical="center"/>
    </xf>
    <xf numFmtId="0" fontId="23" fillId="0" borderId="0" xfId="0" applyFont="1" applyAlignment="1">
      <alignment vertical="center"/>
    </xf>
    <xf numFmtId="0" fontId="25" fillId="0" borderId="0" xfId="0" applyFont="1" applyBorder="1" applyAlignment="1">
      <alignment wrapText="1"/>
    </xf>
    <xf numFmtId="0" fontId="45" fillId="0" borderId="0" xfId="0" applyFont="1" applyAlignment="1"/>
    <xf numFmtId="0" fontId="36" fillId="0" borderId="0" xfId="0" applyFont="1" applyBorder="1" applyAlignment="1">
      <alignment vertical="center"/>
    </xf>
    <xf numFmtId="0" fontId="20" fillId="0" borderId="0" xfId="2" applyFont="1" applyAlignment="1" applyProtection="1">
      <alignment vertical="center" wrapText="1"/>
    </xf>
    <xf numFmtId="0" fontId="22" fillId="0" borderId="0" xfId="0" applyFont="1" applyBorder="1" applyAlignment="1" applyProtection="1"/>
    <xf numFmtId="0" fontId="23" fillId="0" borderId="0" xfId="0" applyFont="1" applyAlignment="1">
      <alignment horizontal="center"/>
    </xf>
    <xf numFmtId="0" fontId="0" fillId="0" borderId="0" xfId="0" applyAlignment="1">
      <alignment horizontal="left"/>
    </xf>
    <xf numFmtId="0" fontId="23" fillId="0" borderId="0" xfId="0" applyFont="1" applyBorder="1" applyAlignment="1">
      <alignment vertical="top" wrapText="1"/>
    </xf>
    <xf numFmtId="0" fontId="25" fillId="0" borderId="0" xfId="0" applyFont="1" applyAlignment="1">
      <alignment wrapText="1"/>
    </xf>
    <xf numFmtId="0" fontId="22" fillId="0" borderId="0" xfId="0" applyFont="1" applyAlignment="1">
      <alignment vertical="center" wrapText="1"/>
    </xf>
    <xf numFmtId="166" fontId="23" fillId="0" borderId="8" xfId="0" applyNumberFormat="1" applyFont="1" applyFill="1" applyBorder="1" applyAlignment="1" applyProtection="1">
      <alignment horizontal="center" vertical="center"/>
    </xf>
    <xf numFmtId="166" fontId="23" fillId="0" borderId="6" xfId="0" applyNumberFormat="1" applyFont="1" applyFill="1" applyBorder="1" applyAlignment="1" applyProtection="1">
      <alignment horizontal="center" vertical="center"/>
    </xf>
    <xf numFmtId="166" fontId="23" fillId="0" borderId="2" xfId="0" applyNumberFormat="1" applyFont="1" applyFill="1" applyBorder="1" applyAlignment="1" applyProtection="1">
      <alignment horizontal="center" vertical="center"/>
    </xf>
    <xf numFmtId="3" fontId="39" fillId="3" borderId="12" xfId="0" applyNumberFormat="1" applyFont="1" applyFill="1" applyBorder="1" applyAlignment="1" applyProtection="1">
      <alignment horizontal="center" vertical="center" wrapText="1"/>
      <protection locked="0"/>
    </xf>
    <xf numFmtId="3" fontId="45" fillId="0" borderId="0" xfId="0" applyNumberFormat="1" applyFont="1" applyFill="1" applyBorder="1" applyAlignment="1" applyProtection="1">
      <alignment horizontal="center" vertical="center" wrapText="1"/>
      <protection locked="0"/>
    </xf>
    <xf numFmtId="3" fontId="45" fillId="0" borderId="0" xfId="0" applyNumberFormat="1" applyFont="1" applyBorder="1" applyAlignment="1" applyProtection="1">
      <alignment horizontal="center" wrapText="1"/>
      <protection locked="0"/>
    </xf>
    <xf numFmtId="3" fontId="50" fillId="0" borderId="0" xfId="0" applyNumberFormat="1" applyFont="1" applyBorder="1" applyAlignment="1" applyProtection="1">
      <alignment horizontal="center" wrapText="1"/>
      <protection locked="0"/>
    </xf>
    <xf numFmtId="0" fontId="23" fillId="3" borderId="8" xfId="0" applyFont="1" applyFill="1" applyBorder="1" applyAlignment="1" applyProtection="1">
      <alignment horizontal="center" vertical="center"/>
      <protection locked="0"/>
    </xf>
    <xf numFmtId="0" fontId="23" fillId="3" borderId="2" xfId="0" applyFont="1" applyFill="1" applyBorder="1" applyAlignment="1" applyProtection="1">
      <alignment horizontal="center" vertical="center"/>
      <protection locked="0"/>
    </xf>
    <xf numFmtId="3" fontId="23" fillId="0" borderId="9" xfId="0" applyNumberFormat="1" applyFont="1" applyFill="1" applyBorder="1" applyAlignment="1" applyProtection="1">
      <alignment horizontal="center" vertical="center"/>
    </xf>
    <xf numFmtId="3" fontId="23" fillId="0" borderId="1" xfId="0" applyNumberFormat="1" applyFont="1" applyFill="1" applyBorder="1" applyAlignment="1" applyProtection="1">
      <alignment horizontal="center" vertical="center"/>
    </xf>
    <xf numFmtId="3" fontId="23" fillId="0" borderId="10" xfId="0" applyNumberFormat="1" applyFont="1" applyFill="1" applyBorder="1" applyAlignment="1" applyProtection="1">
      <alignment horizontal="center" vertical="center"/>
    </xf>
    <xf numFmtId="3" fontId="23" fillId="0" borderId="14" xfId="0" applyNumberFormat="1" applyFont="1" applyFill="1" applyBorder="1" applyAlignment="1" applyProtection="1">
      <alignment horizontal="center"/>
    </xf>
    <xf numFmtId="164" fontId="23" fillId="0" borderId="3" xfId="0" applyNumberFormat="1" applyFont="1" applyFill="1" applyBorder="1" applyAlignment="1" applyProtection="1">
      <alignment horizontal="center" vertical="center" readingOrder="1"/>
    </xf>
    <xf numFmtId="1" fontId="22" fillId="0" borderId="2" xfId="0" applyNumberFormat="1" applyFont="1" applyFill="1" applyBorder="1" applyAlignment="1" applyProtection="1">
      <alignment horizontal="center"/>
      <protection locked="0"/>
    </xf>
    <xf numFmtId="1" fontId="22" fillId="0" borderId="0" xfId="0" applyNumberFormat="1" applyFont="1" applyFill="1" applyBorder="1" applyAlignment="1" applyProtection="1">
      <alignment horizontal="center"/>
      <protection locked="0"/>
    </xf>
    <xf numFmtId="1" fontId="23" fillId="0" borderId="0" xfId="0" applyNumberFormat="1" applyFont="1" applyFill="1" applyBorder="1" applyAlignment="1" applyProtection="1">
      <alignment horizontal="center"/>
      <protection locked="0"/>
    </xf>
    <xf numFmtId="0" fontId="23" fillId="0" borderId="2" xfId="0" applyNumberFormat="1" applyFont="1" applyFill="1" applyBorder="1" applyAlignment="1" applyProtection="1">
      <alignment horizontal="center" vertical="center"/>
    </xf>
    <xf numFmtId="0" fontId="25" fillId="0" borderId="4" xfId="0" applyFont="1" applyBorder="1" applyAlignment="1" applyProtection="1">
      <alignment horizontal="left"/>
    </xf>
    <xf numFmtId="165" fontId="27" fillId="0" borderId="0" xfId="0" applyNumberFormat="1" applyFont="1" applyFill="1" applyBorder="1" applyAlignment="1" applyProtection="1">
      <alignment horizontal="center" vertical="center"/>
    </xf>
    <xf numFmtId="3" fontId="23" fillId="0" borderId="0" xfId="0" applyNumberFormat="1" applyFont="1" applyFill="1" applyBorder="1" applyAlignment="1" applyProtection="1">
      <alignment horizontal="center"/>
    </xf>
    <xf numFmtId="3" fontId="23" fillId="0" borderId="12" xfId="0" applyNumberFormat="1" applyFont="1" applyFill="1" applyBorder="1" applyAlignment="1" applyProtection="1">
      <alignment horizontal="center"/>
    </xf>
    <xf numFmtId="0" fontId="23" fillId="0" borderId="10" xfId="0" applyFont="1" applyBorder="1" applyAlignment="1" applyProtection="1">
      <alignment horizontal="center" vertical="center"/>
    </xf>
    <xf numFmtId="0" fontId="0" fillId="0" borderId="0" xfId="0" applyAlignment="1" applyProtection="1">
      <alignment horizontal="left" vertical="center"/>
    </xf>
    <xf numFmtId="0" fontId="23" fillId="0" borderId="0" xfId="0" applyFont="1" applyFill="1" applyAlignment="1" applyProtection="1">
      <alignment horizontal="center" vertical="center"/>
      <protection locked="0"/>
    </xf>
    <xf numFmtId="165" fontId="23" fillId="0" borderId="12" xfId="0" applyNumberFormat="1" applyFont="1" applyFill="1" applyBorder="1" applyAlignment="1" applyProtection="1">
      <alignment horizontal="center" vertical="center"/>
    </xf>
    <xf numFmtId="0" fontId="23" fillId="0" borderId="3" xfId="0" applyNumberFormat="1" applyFont="1" applyFill="1" applyBorder="1" applyAlignment="1" applyProtection="1">
      <alignment horizontal="center" vertical="center" wrapText="1"/>
    </xf>
    <xf numFmtId="0" fontId="23" fillId="0" borderId="3" xfId="0" quotePrefix="1" applyNumberFormat="1" applyFont="1" applyFill="1" applyBorder="1" applyAlignment="1" applyProtection="1">
      <alignment horizontal="center" vertical="center"/>
    </xf>
    <xf numFmtId="0" fontId="23" fillId="0" borderId="3" xfId="0" applyNumberFormat="1" applyFont="1" applyFill="1" applyBorder="1" applyAlignment="1" applyProtection="1">
      <alignment horizontal="center" vertical="center"/>
    </xf>
    <xf numFmtId="3" fontId="45" fillId="0" borderId="6" xfId="0" applyNumberFormat="1" applyFont="1" applyFill="1" applyBorder="1" applyAlignment="1" applyProtection="1">
      <alignment horizontal="center" vertical="center"/>
      <protection locked="0"/>
    </xf>
    <xf numFmtId="3" fontId="45" fillId="0" borderId="0" xfId="0" applyNumberFormat="1" applyFont="1" applyFill="1" applyBorder="1" applyAlignment="1" applyProtection="1">
      <alignment horizontal="center" vertical="center"/>
      <protection locked="0"/>
    </xf>
    <xf numFmtId="3" fontId="45" fillId="0" borderId="0" xfId="0" applyNumberFormat="1" applyFont="1" applyFill="1" applyBorder="1" applyAlignment="1" applyProtection="1">
      <alignment horizontal="center"/>
      <protection locked="0"/>
    </xf>
    <xf numFmtId="3" fontId="23" fillId="3" borderId="6" xfId="0" applyNumberFormat="1" applyFont="1" applyFill="1" applyBorder="1" applyAlignment="1" applyProtection="1">
      <alignment horizontal="center" vertical="center"/>
      <protection locked="0"/>
    </xf>
    <xf numFmtId="3" fontId="23" fillId="3" borderId="2" xfId="0" applyNumberFormat="1" applyFont="1" applyFill="1" applyBorder="1" applyAlignment="1" applyProtection="1">
      <alignment horizontal="center" vertical="center"/>
      <protection locked="0"/>
    </xf>
    <xf numFmtId="1" fontId="23" fillId="0" borderId="0" xfId="0" applyNumberFormat="1" applyFont="1" applyFill="1" applyAlignment="1" applyProtection="1">
      <alignment horizontal="center"/>
      <protection locked="0"/>
    </xf>
    <xf numFmtId="0" fontId="22" fillId="0" borderId="11"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49" fillId="0" borderId="0" xfId="0" applyFont="1" applyAlignment="1" applyProtection="1">
      <alignment horizontal="left" vertical="center"/>
    </xf>
    <xf numFmtId="0" fontId="25" fillId="0" borderId="3" xfId="0" applyFont="1" applyBorder="1" applyAlignment="1" applyProtection="1">
      <alignment horizontal="center" vertical="center"/>
    </xf>
    <xf numFmtId="3" fontId="23" fillId="0" borderId="8" xfId="0" applyNumberFormat="1" applyFont="1" applyBorder="1" applyAlignment="1" applyProtection="1">
      <alignment horizontal="center"/>
    </xf>
    <xf numFmtId="3" fontId="23" fillId="0" borderId="6" xfId="0" applyNumberFormat="1" applyFont="1" applyBorder="1" applyAlignment="1" applyProtection="1">
      <alignment horizontal="center"/>
    </xf>
    <xf numFmtId="0" fontId="23" fillId="0" borderId="1" xfId="0" applyFont="1" applyBorder="1" applyAlignment="1" applyProtection="1">
      <alignment horizontal="center" vertical="center"/>
    </xf>
    <xf numFmtId="3" fontId="23" fillId="0" borderId="6" xfId="0" applyNumberFormat="1" applyFont="1" applyBorder="1" applyAlignment="1" applyProtection="1">
      <alignment horizontal="center" vertical="center"/>
    </xf>
    <xf numFmtId="3" fontId="23" fillId="0" borderId="2" xfId="0" applyNumberFormat="1" applyFont="1" applyBorder="1" applyAlignment="1" applyProtection="1">
      <alignment horizontal="center" vertical="center"/>
    </xf>
    <xf numFmtId="0" fontId="23" fillId="0" borderId="3" xfId="0" applyFont="1" applyBorder="1" applyAlignment="1" applyProtection="1">
      <alignment horizontal="center" vertical="center"/>
    </xf>
    <xf numFmtId="164" fontId="23" fillId="0" borderId="3" xfId="0" applyNumberFormat="1" applyFont="1" applyBorder="1" applyAlignment="1" applyProtection="1">
      <alignment horizontal="center" vertical="center"/>
    </xf>
    <xf numFmtId="0" fontId="22" fillId="0" borderId="0" xfId="0" applyFont="1" applyBorder="1" applyAlignment="1" applyProtection="1">
      <alignment vertical="center" wrapText="1"/>
    </xf>
    <xf numFmtId="164" fontId="22" fillId="0" borderId="0" xfId="0" applyNumberFormat="1" applyFont="1" applyFill="1" applyBorder="1" applyAlignment="1" applyProtection="1">
      <alignment horizontal="center" vertical="center" wrapText="1"/>
    </xf>
    <xf numFmtId="164" fontId="22" fillId="0" borderId="0" xfId="0" applyNumberFormat="1" applyFont="1" applyFill="1" applyBorder="1" applyAlignment="1" applyProtection="1">
      <alignment vertical="center" wrapText="1"/>
    </xf>
    <xf numFmtId="0" fontId="35" fillId="0" borderId="0" xfId="0" applyFont="1" applyProtection="1"/>
    <xf numFmtId="0" fontId="22" fillId="0" borderId="0" xfId="0" applyFont="1" applyBorder="1" applyAlignment="1" applyProtection="1">
      <alignment horizontal="center" vertical="center" shrinkToFit="1"/>
    </xf>
    <xf numFmtId="0" fontId="25" fillId="0" borderId="24" xfId="0" applyFont="1" applyBorder="1" applyAlignment="1" applyProtection="1">
      <alignment horizontal="center" vertical="center"/>
    </xf>
    <xf numFmtId="164" fontId="23" fillId="0" borderId="3" xfId="0" applyNumberFormat="1" applyFont="1" applyFill="1" applyBorder="1" applyAlignment="1" applyProtection="1">
      <alignment horizontal="center" vertical="center"/>
    </xf>
    <xf numFmtId="164" fontId="23" fillId="0" borderId="3" xfId="0" quotePrefix="1" applyNumberFormat="1" applyFont="1" applyFill="1" applyBorder="1" applyAlignment="1" applyProtection="1">
      <alignment horizontal="center" vertical="center"/>
    </xf>
    <xf numFmtId="0" fontId="48" fillId="0" borderId="0" xfId="2" applyFont="1" applyAlignment="1" applyProtection="1">
      <alignment horizontal="center" vertical="center" wrapText="1"/>
    </xf>
    <xf numFmtId="0" fontId="37" fillId="0" borderId="0" xfId="0" applyFont="1" applyAlignment="1" applyProtection="1">
      <alignment horizontal="left"/>
    </xf>
    <xf numFmtId="0" fontId="23" fillId="0" borderId="0" xfId="0" applyFont="1" applyBorder="1" applyAlignment="1" applyProtection="1">
      <alignment wrapText="1"/>
    </xf>
    <xf numFmtId="0" fontId="22" fillId="0" borderId="0" xfId="0" applyFont="1" applyAlignment="1" applyProtection="1">
      <alignment horizontal="left"/>
    </xf>
    <xf numFmtId="0" fontId="52" fillId="0" borderId="0" xfId="2" applyFont="1" applyAlignment="1" applyProtection="1">
      <alignment horizontal="left" vertical="center" wrapText="1"/>
    </xf>
    <xf numFmtId="0" fontId="48" fillId="0" borderId="0" xfId="2" applyFont="1" applyAlignment="1" applyProtection="1">
      <alignment horizontal="left" vertical="center" wrapText="1"/>
    </xf>
    <xf numFmtId="0" fontId="22" fillId="0" borderId="0" xfId="2" applyFont="1" applyFill="1" applyBorder="1" applyAlignment="1" applyProtection="1">
      <alignment horizontal="left"/>
    </xf>
    <xf numFmtId="0" fontId="23" fillId="0" borderId="10" xfId="0" applyFont="1" applyBorder="1" applyAlignment="1" applyProtection="1">
      <alignment horizontal="left" vertical="center" wrapText="1"/>
    </xf>
    <xf numFmtId="0" fontId="23" fillId="0" borderId="11" xfId="0" applyFont="1" applyBorder="1" applyAlignment="1" applyProtection="1">
      <alignment horizontal="left" vertical="center" wrapText="1"/>
    </xf>
    <xf numFmtId="0" fontId="22" fillId="0" borderId="0" xfId="0" applyFont="1" applyAlignment="1" applyProtection="1">
      <alignment horizontal="center"/>
    </xf>
    <xf numFmtId="0" fontId="33" fillId="0" borderId="0" xfId="2" applyFont="1" applyFill="1" applyBorder="1" applyAlignment="1" applyProtection="1">
      <alignment horizontal="center" vertical="center"/>
    </xf>
    <xf numFmtId="49" fontId="27" fillId="0" borderId="0" xfId="2" applyNumberFormat="1" applyFont="1" applyBorder="1" applyAlignment="1" applyProtection="1">
      <alignment horizontal="left" vertical="top" wrapText="1" readingOrder="1"/>
    </xf>
    <xf numFmtId="0" fontId="25" fillId="0" borderId="27" xfId="0" applyFont="1" applyBorder="1" applyAlignment="1" applyProtection="1">
      <alignment horizontal="left"/>
    </xf>
    <xf numFmtId="0" fontId="25" fillId="0" borderId="4" xfId="0" applyFont="1" applyBorder="1" applyAlignment="1" applyProtection="1">
      <alignment horizontal="left"/>
    </xf>
    <xf numFmtId="0" fontId="35" fillId="0" borderId="0" xfId="0" applyFont="1" applyAlignment="1" applyProtection="1">
      <alignment horizontal="left"/>
    </xf>
    <xf numFmtId="0" fontId="23" fillId="0" borderId="0" xfId="0" applyFont="1" applyBorder="1" applyAlignment="1" applyProtection="1">
      <alignment horizontal="left" vertical="top" wrapText="1"/>
    </xf>
    <xf numFmtId="0" fontId="23" fillId="0" borderId="0" xfId="0" applyFont="1" applyBorder="1" applyAlignment="1" applyProtection="1">
      <alignment horizontal="left" vertical="top"/>
    </xf>
    <xf numFmtId="0" fontId="36" fillId="0" borderId="0" xfId="0" applyFont="1" applyBorder="1" applyAlignment="1" applyProtection="1">
      <alignment horizontal="center" vertical="center"/>
    </xf>
    <xf numFmtId="0" fontId="23" fillId="0" borderId="0" xfId="0" applyFont="1" applyAlignment="1" applyProtection="1">
      <alignment horizontal="center"/>
    </xf>
    <xf numFmtId="0" fontId="23" fillId="0" borderId="12" xfId="0" applyFont="1" applyBorder="1" applyAlignment="1" applyProtection="1">
      <alignment horizontal="center"/>
    </xf>
    <xf numFmtId="0" fontId="23" fillId="0" borderId="22" xfId="0" applyFont="1" applyBorder="1" applyAlignment="1" applyProtection="1">
      <alignment horizontal="left" vertical="center" wrapText="1"/>
    </xf>
    <xf numFmtId="0" fontId="23" fillId="0" borderId="23" xfId="0" applyFont="1" applyBorder="1" applyAlignment="1" applyProtection="1">
      <alignment horizontal="left" vertical="center" wrapText="1"/>
    </xf>
    <xf numFmtId="0" fontId="23" fillId="0" borderId="26" xfId="0" applyFont="1" applyFill="1" applyBorder="1" applyAlignment="1" applyProtection="1">
      <alignment horizontal="left" vertical="center"/>
    </xf>
    <xf numFmtId="0" fontId="23" fillId="0" borderId="25" xfId="0" applyFont="1" applyFill="1" applyBorder="1" applyAlignment="1" applyProtection="1">
      <alignment horizontal="left" vertical="center"/>
    </xf>
    <xf numFmtId="0" fontId="23" fillId="0" borderId="28" xfId="0" applyFont="1" applyFill="1" applyBorder="1" applyAlignment="1" applyProtection="1">
      <alignment horizontal="left" vertical="center"/>
    </xf>
    <xf numFmtId="3" fontId="23" fillId="0" borderId="9" xfId="0" applyNumberFormat="1" applyFont="1" applyFill="1" applyBorder="1" applyAlignment="1" applyProtection="1">
      <alignment horizontal="left" vertical="center"/>
    </xf>
    <xf numFmtId="3" fontId="23" fillId="0" borderId="13" xfId="0" applyNumberFormat="1" applyFont="1" applyFill="1" applyBorder="1" applyAlignment="1" applyProtection="1">
      <alignment horizontal="left" vertical="center"/>
    </xf>
    <xf numFmtId="3" fontId="23" fillId="0" borderId="14" xfId="0" applyNumberFormat="1" applyFont="1" applyFill="1" applyBorder="1" applyAlignment="1" applyProtection="1">
      <alignment horizontal="left" vertical="center"/>
    </xf>
    <xf numFmtId="0" fontId="22" fillId="0" borderId="26" xfId="0" applyFont="1" applyBorder="1" applyAlignment="1" applyProtection="1">
      <alignment horizontal="center" shrinkToFit="1"/>
    </xf>
    <xf numFmtId="0" fontId="22" fillId="0" borderId="25" xfId="0" applyFont="1" applyBorder="1" applyAlignment="1" applyProtection="1">
      <alignment horizontal="center" shrinkToFit="1"/>
    </xf>
    <xf numFmtId="0" fontId="22" fillId="0" borderId="28" xfId="0" applyFont="1" applyBorder="1" applyAlignment="1" applyProtection="1">
      <alignment horizontal="center" shrinkToFit="1"/>
    </xf>
    <xf numFmtId="0" fontId="22" fillId="0" borderId="1" xfId="0" applyFont="1" applyBorder="1" applyAlignment="1" applyProtection="1">
      <alignment horizontal="center" shrinkToFit="1"/>
    </xf>
    <xf numFmtId="0" fontId="22" fillId="0" borderId="0" xfId="0" applyFont="1" applyBorder="1" applyAlignment="1" applyProtection="1">
      <alignment horizontal="center" shrinkToFit="1"/>
    </xf>
    <xf numFmtId="0" fontId="22" fillId="0" borderId="12" xfId="0" applyFont="1" applyBorder="1" applyAlignment="1" applyProtection="1">
      <alignment horizontal="center" shrinkToFit="1"/>
    </xf>
    <xf numFmtId="0" fontId="23" fillId="0" borderId="0" xfId="0" applyFont="1" applyBorder="1" applyAlignment="1" applyProtection="1">
      <alignment horizontal="left" vertical="center" wrapText="1"/>
    </xf>
    <xf numFmtId="0" fontId="23" fillId="0" borderId="12" xfId="0" applyFont="1" applyBorder="1" applyAlignment="1" applyProtection="1">
      <alignment horizontal="left" vertical="center" wrapText="1"/>
    </xf>
    <xf numFmtId="0" fontId="22" fillId="0" borderId="0" xfId="0" applyFont="1" applyBorder="1" applyAlignment="1" applyProtection="1">
      <alignment horizontal="left"/>
    </xf>
    <xf numFmtId="38" fontId="23" fillId="0" borderId="7" xfId="0" applyNumberFormat="1" applyFont="1" applyFill="1" applyBorder="1" applyAlignment="1" applyProtection="1">
      <alignment horizontal="center"/>
    </xf>
    <xf numFmtId="38" fontId="23" fillId="0" borderId="11" xfId="0" applyNumberFormat="1" applyFont="1" applyFill="1" applyBorder="1" applyAlignment="1" applyProtection="1">
      <alignment horizontal="center"/>
    </xf>
    <xf numFmtId="3" fontId="23" fillId="0" borderId="0" xfId="0" applyNumberFormat="1" applyFont="1" applyFill="1" applyBorder="1" applyAlignment="1" applyProtection="1">
      <alignment horizontal="center" wrapText="1"/>
    </xf>
    <xf numFmtId="0" fontId="23" fillId="0" borderId="0" xfId="0" applyFont="1" applyFill="1" applyBorder="1" applyAlignment="1" applyProtection="1">
      <alignment horizontal="center" wrapText="1"/>
    </xf>
    <xf numFmtId="0" fontId="23" fillId="0" borderId="0" xfId="0" applyFont="1" applyAlignment="1" applyProtection="1">
      <alignment horizontal="left"/>
    </xf>
    <xf numFmtId="0" fontId="23" fillId="0" borderId="22" xfId="0" applyFont="1" applyBorder="1" applyAlignment="1" applyProtection="1">
      <alignment horizontal="left" wrapText="1"/>
    </xf>
    <xf numFmtId="0" fontId="23" fillId="0" borderId="23" xfId="0" applyFont="1" applyBorder="1" applyAlignment="1" applyProtection="1">
      <alignment horizontal="left" wrapText="1"/>
    </xf>
    <xf numFmtId="0" fontId="23" fillId="0" borderId="0" xfId="0" applyFont="1" applyBorder="1" applyAlignment="1" applyProtection="1">
      <alignment horizontal="left" wrapText="1"/>
    </xf>
    <xf numFmtId="0" fontId="23" fillId="0" borderId="12" xfId="0" applyFont="1" applyBorder="1" applyAlignment="1" applyProtection="1">
      <alignment horizontal="left" wrapText="1"/>
    </xf>
    <xf numFmtId="0" fontId="23" fillId="0" borderId="10"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0" xfId="0" applyFont="1" applyFill="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7" fillId="3"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xf>
    <xf numFmtId="3" fontId="23" fillId="0" borderId="0" xfId="0" applyNumberFormat="1" applyFont="1" applyFill="1" applyBorder="1" applyAlignment="1" applyProtection="1">
      <alignment horizontal="center"/>
    </xf>
    <xf numFmtId="3" fontId="23" fillId="0" borderId="12" xfId="0" applyNumberFormat="1" applyFont="1" applyFill="1" applyBorder="1" applyAlignment="1" applyProtection="1">
      <alignment horizontal="center"/>
    </xf>
    <xf numFmtId="0" fontId="23" fillId="3" borderId="0" xfId="0" applyNumberFormat="1" applyFont="1" applyFill="1" applyBorder="1" applyAlignment="1" applyProtection="1">
      <alignment horizontal="center"/>
      <protection locked="0"/>
    </xf>
    <xf numFmtId="0" fontId="22" fillId="0" borderId="0" xfId="0" applyFont="1" applyFill="1" applyBorder="1" applyAlignment="1" applyProtection="1">
      <alignment horizontal="left"/>
    </xf>
    <xf numFmtId="0" fontId="23" fillId="0" borderId="7" xfId="0" applyFont="1" applyFill="1" applyBorder="1" applyAlignment="1" applyProtection="1">
      <alignment horizontal="center"/>
    </xf>
    <xf numFmtId="0" fontId="23" fillId="0" borderId="11" xfId="0" applyFont="1" applyFill="1" applyBorder="1" applyAlignment="1" applyProtection="1">
      <alignment horizontal="center"/>
    </xf>
    <xf numFmtId="165" fontId="24" fillId="0" borderId="0" xfId="0" applyNumberFormat="1" applyFont="1" applyFill="1" applyBorder="1" applyAlignment="1" applyProtection="1">
      <alignment horizontal="center" vertical="center"/>
    </xf>
    <xf numFmtId="0" fontId="23" fillId="0" borderId="0" xfId="0" applyFont="1" applyBorder="1" applyAlignment="1" applyProtection="1">
      <alignment horizontal="left"/>
    </xf>
    <xf numFmtId="0" fontId="24" fillId="0" borderId="0" xfId="0" applyFont="1" applyBorder="1" applyAlignment="1" applyProtection="1">
      <alignment horizontal="left"/>
    </xf>
    <xf numFmtId="0" fontId="27" fillId="0" borderId="7" xfId="0" applyFont="1" applyBorder="1" applyAlignment="1" applyProtection="1">
      <alignment horizontal="left"/>
    </xf>
    <xf numFmtId="165" fontId="27" fillId="0" borderId="7" xfId="0" applyNumberFormat="1" applyFont="1" applyFill="1" applyBorder="1" applyAlignment="1" applyProtection="1">
      <alignment horizontal="center" vertical="center"/>
    </xf>
    <xf numFmtId="165" fontId="27" fillId="0" borderId="0" xfId="0" applyNumberFormat="1" applyFont="1" applyFill="1" applyBorder="1" applyAlignment="1" applyProtection="1">
      <alignment horizontal="center" vertical="center"/>
    </xf>
    <xf numFmtId="0" fontId="27" fillId="0" borderId="0" xfId="0" applyFont="1" applyBorder="1" applyAlignment="1" applyProtection="1">
      <alignment horizontal="left"/>
    </xf>
    <xf numFmtId="0" fontId="27" fillId="0" borderId="0" xfId="0" applyFont="1" applyBorder="1" applyAlignment="1" applyProtection="1">
      <alignment horizontal="left" wrapText="1"/>
    </xf>
    <xf numFmtId="0" fontId="27" fillId="3" borderId="0" xfId="0" applyFont="1" applyFill="1" applyBorder="1" applyAlignment="1" applyProtection="1">
      <alignment horizontal="center" vertical="center" wrapText="1"/>
      <protection locked="0"/>
    </xf>
    <xf numFmtId="0" fontId="27" fillId="3" borderId="7" xfId="0" applyFont="1" applyFill="1" applyBorder="1" applyAlignment="1" applyProtection="1">
      <alignment horizontal="center" vertical="center"/>
      <protection locked="0"/>
    </xf>
    <xf numFmtId="0" fontId="22" fillId="0" borderId="0" xfId="0" applyFont="1" applyBorder="1" applyAlignment="1" applyProtection="1">
      <alignment horizontal="left" vertical="center"/>
    </xf>
    <xf numFmtId="0" fontId="22" fillId="0" borderId="0" xfId="0" applyFont="1" applyBorder="1" applyAlignment="1" applyProtection="1">
      <alignment horizontal="left" vertical="center" wrapText="1"/>
    </xf>
    <xf numFmtId="0" fontId="35" fillId="0" borderId="0" xfId="0" applyFont="1" applyAlignment="1" applyProtection="1">
      <alignment horizontal="left" vertical="center"/>
    </xf>
    <xf numFmtId="0" fontId="0" fillId="0" borderId="0" xfId="0" applyBorder="1" applyAlignment="1" applyProtection="1">
      <alignment horizontal="left" vertical="center" wrapText="1"/>
    </xf>
    <xf numFmtId="0" fontId="46" fillId="0" borderId="0" xfId="0" applyFont="1" applyFill="1" applyBorder="1" applyAlignment="1" applyProtection="1">
      <alignment horizontal="left"/>
    </xf>
    <xf numFmtId="165" fontId="23" fillId="0" borderId="0" xfId="0" applyNumberFormat="1" applyFont="1" applyAlignment="1" applyProtection="1">
      <alignment horizontal="center" vertical="center"/>
    </xf>
    <xf numFmtId="0" fontId="23" fillId="0" borderId="0" xfId="0" applyFont="1" applyAlignment="1" applyProtection="1">
      <alignment horizontal="left" vertical="center"/>
    </xf>
    <xf numFmtId="0" fontId="0" fillId="0" borderId="0" xfId="0" applyAlignment="1" applyProtection="1">
      <alignment horizontal="left" vertical="center"/>
    </xf>
    <xf numFmtId="0" fontId="23" fillId="0" borderId="0" xfId="0" applyFont="1" applyFill="1" applyAlignment="1" applyProtection="1">
      <alignment horizontal="center" vertical="center"/>
      <protection locked="0"/>
    </xf>
    <xf numFmtId="3" fontId="23" fillId="0" borderId="0" xfId="0" applyNumberFormat="1" applyFont="1" applyAlignment="1" applyProtection="1">
      <alignment horizontal="center" vertical="center"/>
    </xf>
    <xf numFmtId="0" fontId="23" fillId="0" borderId="0" xfId="0" applyFont="1" applyBorder="1" applyAlignment="1" applyProtection="1">
      <alignment horizontal="left" vertical="center"/>
    </xf>
    <xf numFmtId="0" fontId="23" fillId="0" borderId="0" xfId="0" applyFont="1" applyFill="1" applyBorder="1" applyAlignment="1" applyProtection="1">
      <alignment horizontal="center" vertical="center"/>
      <protection locked="0"/>
    </xf>
    <xf numFmtId="0" fontId="36" fillId="0" borderId="0" xfId="0" applyFont="1" applyAlignment="1" applyProtection="1">
      <alignment horizontal="center" vertical="center"/>
    </xf>
    <xf numFmtId="0" fontId="23" fillId="3" borderId="9" xfId="0" applyFont="1" applyFill="1" applyBorder="1" applyAlignment="1" applyProtection="1">
      <alignment horizontal="center" vertical="center"/>
      <protection locked="0"/>
    </xf>
    <xf numFmtId="0" fontId="23" fillId="3" borderId="13" xfId="0" applyFont="1" applyFill="1" applyBorder="1" applyAlignment="1" applyProtection="1">
      <alignment horizontal="center" vertical="center"/>
      <protection locked="0"/>
    </xf>
    <xf numFmtId="0" fontId="23" fillId="0" borderId="7" xfId="0" applyFont="1" applyBorder="1" applyAlignment="1" applyProtection="1">
      <alignment horizontal="left"/>
    </xf>
    <xf numFmtId="0" fontId="23" fillId="0" borderId="11" xfId="0" applyFont="1" applyBorder="1" applyAlignment="1" applyProtection="1">
      <alignment horizontal="left"/>
    </xf>
    <xf numFmtId="0" fontId="23" fillId="3" borderId="21" xfId="0" applyFont="1" applyFill="1" applyBorder="1" applyAlignment="1" applyProtection="1">
      <alignment horizontal="center" vertical="center"/>
      <protection locked="0"/>
    </xf>
    <xf numFmtId="0" fontId="23" fillId="3" borderId="22" xfId="0" applyFont="1" applyFill="1" applyBorder="1" applyAlignment="1" applyProtection="1">
      <alignment horizontal="center" vertical="center"/>
      <protection locked="0"/>
    </xf>
    <xf numFmtId="0" fontId="23" fillId="0" borderId="22" xfId="0" applyFont="1" applyFill="1" applyBorder="1" applyAlignment="1" applyProtection="1">
      <alignment horizontal="left" vertical="center" wrapText="1"/>
    </xf>
    <xf numFmtId="0" fontId="23" fillId="0" borderId="23" xfId="0" applyFont="1" applyFill="1" applyBorder="1" applyAlignment="1" applyProtection="1">
      <alignment horizontal="left" vertical="center" wrapText="1"/>
    </xf>
    <xf numFmtId="0" fontId="23" fillId="0" borderId="10" xfId="0" applyFont="1" applyBorder="1" applyAlignment="1" applyProtection="1">
      <alignment horizontal="center" vertical="center"/>
    </xf>
    <xf numFmtId="0" fontId="23" fillId="0" borderId="7" xfId="0" applyFont="1" applyBorder="1" applyAlignment="1" applyProtection="1">
      <alignment horizontal="center" vertical="center"/>
    </xf>
    <xf numFmtId="0" fontId="23" fillId="0" borderId="11" xfId="0" applyFont="1" applyBorder="1" applyAlignment="1" applyProtection="1">
      <alignment horizontal="center" vertical="center"/>
    </xf>
    <xf numFmtId="0" fontId="23" fillId="0" borderId="0" xfId="0" applyFont="1" applyAlignment="1" applyProtection="1">
      <alignment horizontal="left" vertical="top" wrapText="1"/>
    </xf>
    <xf numFmtId="0" fontId="36" fillId="0" borderId="0" xfId="0" applyFont="1" applyAlignment="1" applyProtection="1">
      <alignment horizontal="left" vertical="top" wrapText="1"/>
    </xf>
    <xf numFmtId="0" fontId="26" fillId="0" borderId="4" xfId="0" applyFont="1" applyBorder="1" applyAlignment="1" applyProtection="1">
      <alignment horizontal="left" wrapText="1"/>
    </xf>
    <xf numFmtId="0" fontId="22" fillId="0" borderId="1" xfId="0" applyFont="1" applyBorder="1" applyAlignment="1" applyProtection="1">
      <alignment horizontal="left" vertical="center"/>
    </xf>
    <xf numFmtId="0" fontId="27" fillId="0" borderId="12" xfId="0" applyFont="1" applyBorder="1" applyAlignment="1" applyProtection="1">
      <alignment horizontal="left" wrapText="1"/>
    </xf>
    <xf numFmtId="0" fontId="27" fillId="0" borderId="0" xfId="0" applyFont="1" applyBorder="1" applyAlignment="1" applyProtection="1">
      <alignment horizontal="left" vertical="center" wrapText="1"/>
    </xf>
    <xf numFmtId="0" fontId="27" fillId="0" borderId="12" xfId="0" applyFont="1" applyBorder="1" applyAlignment="1" applyProtection="1">
      <alignment horizontal="left" vertical="center" wrapText="1"/>
    </xf>
    <xf numFmtId="0" fontId="27" fillId="0" borderId="12" xfId="0" applyFont="1" applyBorder="1" applyAlignment="1" applyProtection="1">
      <alignment horizontal="left"/>
    </xf>
    <xf numFmtId="0" fontId="26" fillId="0" borderId="4" xfId="0" applyFont="1" applyBorder="1" applyAlignment="1" applyProtection="1">
      <alignment wrapText="1"/>
    </xf>
    <xf numFmtId="0" fontId="0" fillId="0" borderId="10" xfId="0" applyBorder="1" applyAlignment="1" applyProtection="1">
      <alignment horizontal="center" vertical="center"/>
    </xf>
    <xf numFmtId="0" fontId="0" fillId="0" borderId="7" xfId="0" applyBorder="1" applyAlignment="1" applyProtection="1">
      <alignment horizontal="center" vertical="center"/>
    </xf>
    <xf numFmtId="0" fontId="0" fillId="0" borderId="11" xfId="0" applyBorder="1" applyAlignment="1" applyProtection="1">
      <alignment horizontal="center" vertical="center"/>
    </xf>
    <xf numFmtId="0" fontId="23" fillId="0" borderId="22" xfId="0" applyFont="1" applyFill="1" applyBorder="1" applyAlignment="1" applyProtection="1">
      <alignment horizontal="left" vertical="center"/>
    </xf>
    <xf numFmtId="0" fontId="35" fillId="0" borderId="1" xfId="0" applyFont="1" applyBorder="1" applyAlignment="1" applyProtection="1">
      <alignment horizontal="left"/>
    </xf>
    <xf numFmtId="0" fontId="23" fillId="0" borderId="0" xfId="0" applyFont="1" applyFill="1" applyBorder="1" applyAlignment="1" applyProtection="1">
      <alignment horizontal="center" vertical="center" wrapText="1"/>
      <protection locked="0"/>
    </xf>
    <xf numFmtId="2" fontId="24" fillId="0" borderId="0" xfId="0" applyNumberFormat="1"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wrapText="1"/>
    </xf>
    <xf numFmtId="0" fontId="44" fillId="0" borderId="26" xfId="0" applyFont="1" applyFill="1" applyBorder="1" applyAlignment="1" applyProtection="1">
      <alignment horizontal="center" vertical="center" wrapText="1"/>
    </xf>
    <xf numFmtId="0" fontId="44" fillId="0" borderId="25" xfId="0" applyFont="1" applyFill="1" applyBorder="1" applyAlignment="1" applyProtection="1">
      <alignment horizontal="center" vertical="center" wrapText="1"/>
    </xf>
    <xf numFmtId="0" fontId="23" fillId="0" borderId="29" xfId="0" applyFont="1" applyBorder="1" applyAlignment="1" applyProtection="1">
      <alignment horizontal="left"/>
    </xf>
    <xf numFmtId="0" fontId="23" fillId="0" borderId="18" xfId="0" applyFont="1" applyBorder="1" applyAlignment="1" applyProtection="1">
      <alignment horizontal="left"/>
    </xf>
    <xf numFmtId="0" fontId="23" fillId="3" borderId="21" xfId="0" applyFont="1" applyFill="1" applyBorder="1" applyAlignment="1" applyProtection="1">
      <alignment horizontal="center" wrapText="1"/>
      <protection locked="0"/>
    </xf>
    <xf numFmtId="0" fontId="23" fillId="3" borderId="22" xfId="0" applyFont="1" applyFill="1" applyBorder="1" applyAlignment="1" applyProtection="1">
      <alignment horizontal="center" wrapText="1"/>
      <protection locked="0"/>
    </xf>
    <xf numFmtId="0" fontId="23" fillId="3" borderId="24" xfId="0" applyFont="1" applyFill="1" applyBorder="1" applyAlignment="1" applyProtection="1">
      <alignment horizontal="center" wrapText="1"/>
      <protection locked="0"/>
    </xf>
    <xf numFmtId="0" fontId="23" fillId="3" borderId="29" xfId="0" applyFont="1" applyFill="1" applyBorder="1" applyAlignment="1" applyProtection="1">
      <alignment horizontal="center" wrapText="1"/>
      <protection locked="0"/>
    </xf>
    <xf numFmtId="0" fontId="25" fillId="0" borderId="3" xfId="0" applyFont="1" applyBorder="1" applyAlignment="1" applyProtection="1">
      <alignment horizontal="center" vertical="center"/>
    </xf>
    <xf numFmtId="0" fontId="25" fillId="0" borderId="3" xfId="0" applyFont="1" applyBorder="1" applyAlignment="1" applyProtection="1">
      <alignment horizontal="center" vertical="center" wrapText="1"/>
    </xf>
    <xf numFmtId="165" fontId="23" fillId="0" borderId="9" xfId="0" applyNumberFormat="1" applyFont="1" applyFill="1" applyBorder="1" applyAlignment="1" applyProtection="1">
      <alignment horizontal="center" vertical="center"/>
    </xf>
    <xf numFmtId="165" fontId="23" fillId="0" borderId="14" xfId="0" applyNumberFormat="1" applyFont="1" applyFill="1" applyBorder="1" applyAlignment="1" applyProtection="1">
      <alignment horizontal="center" vertical="center"/>
    </xf>
    <xf numFmtId="0" fontId="23" fillId="0" borderId="1" xfId="0" applyFont="1" applyBorder="1" applyAlignment="1" applyProtection="1">
      <alignment horizontal="center" vertical="center"/>
    </xf>
    <xf numFmtId="0" fontId="23" fillId="0" borderId="0" xfId="0" applyFont="1" applyBorder="1" applyAlignment="1" applyProtection="1">
      <alignment horizontal="center" vertical="center"/>
    </xf>
    <xf numFmtId="165" fontId="23" fillId="0" borderId="10" xfId="0" applyNumberFormat="1" applyFont="1" applyFill="1" applyBorder="1" applyAlignment="1" applyProtection="1">
      <alignment horizontal="center" vertical="center"/>
    </xf>
    <xf numFmtId="165" fontId="23" fillId="0" borderId="11" xfId="0" applyNumberFormat="1" applyFont="1" applyFill="1" applyBorder="1" applyAlignment="1" applyProtection="1">
      <alignment horizontal="center" vertical="center"/>
    </xf>
    <xf numFmtId="165" fontId="23" fillId="0" borderId="1" xfId="0" applyNumberFormat="1" applyFont="1" applyFill="1" applyBorder="1" applyAlignment="1" applyProtection="1">
      <alignment horizontal="center" vertical="center"/>
    </xf>
    <xf numFmtId="165" fontId="23" fillId="0" borderId="12" xfId="0" applyNumberFormat="1" applyFont="1" applyFill="1" applyBorder="1" applyAlignment="1" applyProtection="1">
      <alignment horizontal="center" vertical="center"/>
    </xf>
    <xf numFmtId="0" fontId="47" fillId="0" borderId="0" xfId="0" applyFont="1" applyAlignment="1" applyProtection="1">
      <alignment horizontal="left"/>
    </xf>
    <xf numFmtId="0" fontId="22" fillId="0" borderId="1" xfId="0" applyFont="1" applyBorder="1" applyAlignment="1" applyProtection="1">
      <alignment horizontal="left"/>
    </xf>
    <xf numFmtId="10" fontId="25" fillId="0" borderId="0" xfId="0" applyNumberFormat="1" applyFont="1" applyBorder="1" applyAlignment="1" applyProtection="1">
      <alignment horizontal="left"/>
    </xf>
    <xf numFmtId="0" fontId="25" fillId="0" borderId="4" xfId="0" applyFont="1" applyBorder="1" applyAlignment="1" applyProtection="1">
      <alignment horizontal="left" wrapText="1"/>
    </xf>
    <xf numFmtId="0" fontId="23" fillId="3" borderId="10" xfId="0" applyFont="1" applyFill="1" applyBorder="1" applyAlignment="1" applyProtection="1">
      <alignment horizontal="center"/>
      <protection locked="0"/>
    </xf>
    <xf numFmtId="0" fontId="23" fillId="3" borderId="7" xfId="0" applyFont="1" applyFill="1" applyBorder="1" applyAlignment="1" applyProtection="1">
      <alignment horizontal="center"/>
      <protection locked="0"/>
    </xf>
    <xf numFmtId="0" fontId="23" fillId="3" borderId="24" xfId="0" applyFont="1" applyFill="1" applyBorder="1" applyAlignment="1" applyProtection="1">
      <alignment horizontal="center"/>
      <protection locked="0"/>
    </xf>
    <xf numFmtId="0" fontId="23" fillId="3" borderId="29" xfId="0" applyFont="1" applyFill="1" applyBorder="1" applyAlignment="1" applyProtection="1">
      <alignment horizontal="center"/>
      <protection locked="0"/>
    </xf>
    <xf numFmtId="0" fontId="23" fillId="0" borderId="0" xfId="0" applyFont="1" applyFill="1" applyBorder="1" applyAlignment="1" applyProtection="1">
      <alignment horizontal="center"/>
      <protection locked="0"/>
    </xf>
    <xf numFmtId="0" fontId="51" fillId="0" borderId="0" xfId="0" applyFont="1" applyFill="1" applyBorder="1" applyAlignment="1" applyProtection="1">
      <alignment horizontal="center"/>
      <protection locked="0"/>
    </xf>
    <xf numFmtId="0" fontId="23" fillId="0" borderId="0" xfId="0" applyFont="1" applyFill="1" applyBorder="1" applyAlignment="1" applyProtection="1">
      <alignment horizontal="left" wrapText="1"/>
    </xf>
    <xf numFmtId="0" fontId="23" fillId="0" borderId="0" xfId="0" applyFont="1" applyFill="1" applyBorder="1" applyAlignment="1" applyProtection="1">
      <alignment horizontal="left"/>
    </xf>
    <xf numFmtId="0" fontId="23" fillId="0" borderId="29" xfId="0" applyFont="1" applyFill="1" applyBorder="1" applyAlignment="1" applyProtection="1">
      <alignment horizontal="left"/>
    </xf>
    <xf numFmtId="0" fontId="23" fillId="0" borderId="18" xfId="0" applyFont="1" applyFill="1" applyBorder="1" applyAlignment="1" applyProtection="1">
      <alignment horizontal="left"/>
    </xf>
    <xf numFmtId="0" fontId="25" fillId="0" borderId="0" xfId="0" applyFont="1" applyAlignment="1" applyProtection="1">
      <alignment horizontal="left" wrapText="1"/>
    </xf>
    <xf numFmtId="0" fontId="22" fillId="0" borderId="0" xfId="0" applyFont="1" applyAlignment="1" applyProtection="1">
      <alignment horizontal="left" vertical="center" wrapText="1"/>
    </xf>
    <xf numFmtId="0" fontId="25" fillId="0" borderId="13" xfId="0" applyFont="1" applyBorder="1" applyAlignment="1" applyProtection="1">
      <alignment horizontal="left" vertical="center" wrapText="1"/>
    </xf>
    <xf numFmtId="0" fontId="25" fillId="0" borderId="24" xfId="0" applyFont="1" applyBorder="1" applyAlignment="1" applyProtection="1">
      <alignment horizontal="center" vertical="center"/>
    </xf>
    <xf numFmtId="0" fontId="25" fillId="0" borderId="18" xfId="0" applyFont="1" applyBorder="1" applyAlignment="1" applyProtection="1">
      <alignment horizontal="center" vertical="center"/>
    </xf>
    <xf numFmtId="0" fontId="23" fillId="0" borderId="25" xfId="0" applyFont="1" applyFill="1" applyBorder="1" applyAlignment="1" applyProtection="1">
      <alignment horizontal="left" vertical="center" wrapText="1"/>
    </xf>
    <xf numFmtId="3" fontId="23" fillId="0" borderId="25" xfId="0" applyNumberFormat="1" applyFont="1" applyFill="1" applyBorder="1" applyAlignment="1" applyProtection="1">
      <alignment horizontal="left" vertical="center" wrapText="1"/>
    </xf>
    <xf numFmtId="0" fontId="26" fillId="0" borderId="4" xfId="0" applyFont="1" applyBorder="1" applyAlignment="1" applyProtection="1">
      <alignment horizontal="left"/>
    </xf>
    <xf numFmtId="0" fontId="22" fillId="0" borderId="0" xfId="0" applyFont="1" applyAlignment="1" applyProtection="1">
      <alignment horizontal="left" vertical="center"/>
    </xf>
    <xf numFmtId="0" fontId="23" fillId="0" borderId="0" xfId="0" applyFont="1" applyAlignment="1" applyProtection="1">
      <alignment horizontal="left" vertical="center" wrapText="1"/>
    </xf>
    <xf numFmtId="0" fontId="23" fillId="0" borderId="0" xfId="0" applyFont="1" applyFill="1" applyAlignment="1" applyProtection="1">
      <alignment horizontal="left" vertical="center" wrapText="1"/>
    </xf>
  </cellXfs>
  <cellStyles count="7">
    <cellStyle name="Hyperlink" xfId="4" builtinId="8"/>
    <cellStyle name="Hyperlink 2" xfId="5" xr:uid="{00000000-0005-0000-0000-000001000000}"/>
    <cellStyle name="Normal" xfId="0" builtinId="0"/>
    <cellStyle name="Normal 2" xfId="1" xr:uid="{00000000-0005-0000-0000-000003000000}"/>
    <cellStyle name="Normal 3" xfId="2" xr:uid="{00000000-0005-0000-0000-000004000000}"/>
    <cellStyle name="Normal 4" xfId="3" xr:uid="{00000000-0005-0000-0000-000005000000}"/>
    <cellStyle name="Normal 4 2" xfId="6" xr:uid="{00000000-0005-0000-0000-000006000000}"/>
  </cellStyles>
  <dxfs count="120">
    <dxf>
      <border>
        <bottom style="thin">
          <color auto="1"/>
        </bottom>
        <vertical/>
        <horizontal/>
      </border>
    </dxf>
    <dxf>
      <font>
        <color theme="1"/>
      </font>
    </dxf>
    <dxf>
      <font>
        <color theme="0"/>
      </font>
    </dxf>
    <dxf>
      <fill>
        <patternFill>
          <bgColor theme="2"/>
        </patternFill>
      </fill>
      <border>
        <left style="thin">
          <color auto="1"/>
        </left>
        <vertical/>
        <horizontal/>
      </border>
    </dxf>
    <dxf>
      <border>
        <top style="thin">
          <color auto="1"/>
        </top>
        <bottom style="thin">
          <color auto="1"/>
        </bottom>
        <vertical/>
        <horizontal/>
      </border>
    </dxf>
    <dxf>
      <border>
        <bottom style="thin">
          <color auto="1"/>
        </bottom>
      </border>
    </dxf>
    <dxf>
      <border>
        <bottom style="thin">
          <color auto="1"/>
        </bottom>
        <vertical/>
        <horizontal/>
      </border>
    </dxf>
    <dxf>
      <fill>
        <patternFill>
          <bgColor theme="2"/>
        </patternFill>
      </fill>
      <border>
        <left style="thin">
          <color auto="1"/>
        </left>
        <right style="thin">
          <color auto="1"/>
        </right>
        <bottom style="thin">
          <color auto="1"/>
        </bottom>
        <vertical/>
        <horizontal/>
      </border>
    </dxf>
    <dxf>
      <fill>
        <patternFill>
          <bgColor theme="2"/>
        </patternFill>
      </fill>
    </dxf>
    <dxf>
      <font>
        <color theme="1"/>
      </font>
    </dxf>
    <dxf>
      <fill>
        <patternFill>
          <bgColor theme="2"/>
        </patternFill>
      </fill>
    </dxf>
    <dxf>
      <border>
        <right style="thin">
          <color auto="1"/>
        </right>
        <vertical/>
        <horizontal/>
      </border>
    </dxf>
    <dxf>
      <border>
        <left/>
        <right style="thin">
          <color auto="1"/>
        </right>
        <top style="thin">
          <color auto="1"/>
        </top>
        <bottom style="thin">
          <color auto="1"/>
        </bottom>
        <vertical/>
        <horizontal/>
      </border>
    </dxf>
    <dxf>
      <border>
        <left/>
        <right style="thin">
          <color auto="1"/>
        </right>
        <top style="thin">
          <color auto="1"/>
        </top>
        <bottom style="thin">
          <color auto="1"/>
        </bottom>
        <vertical/>
        <horizontal/>
      </border>
    </dxf>
    <dxf>
      <fill>
        <patternFill>
          <bgColor theme="2"/>
        </patternFill>
      </fill>
      <border>
        <left style="thin">
          <color auto="1"/>
        </left>
        <right style="thin">
          <color auto="1"/>
        </right>
        <top style="thin">
          <color auto="1"/>
        </top>
        <bottom style="thin">
          <color auto="1"/>
        </bottom>
      </border>
    </dxf>
    <dxf>
      <border>
        <right/>
        <vertical/>
        <horizontal/>
      </border>
    </dxf>
    <dxf>
      <fill>
        <patternFill>
          <bgColor theme="2"/>
        </patternFill>
      </fill>
      <border>
        <left style="thin">
          <color auto="1"/>
        </left>
        <right/>
      </border>
    </dxf>
    <dxf>
      <border>
        <right style="thin">
          <color auto="1"/>
        </right>
        <vertical/>
        <horizontal/>
      </border>
    </dxf>
    <dxf>
      <border>
        <left/>
        <right/>
        <top style="thin">
          <color auto="1"/>
        </top>
        <bottom/>
        <vertical/>
        <horizontal/>
      </border>
    </dxf>
    <dxf>
      <fill>
        <patternFill>
          <bgColor theme="2"/>
        </patternFill>
      </fill>
    </dxf>
    <dxf>
      <border>
        <left style="thin">
          <color auto="1"/>
        </left>
        <right style="thin">
          <color auto="1"/>
        </right>
        <vertical/>
        <horizontal/>
      </border>
    </dxf>
    <dxf>
      <fill>
        <patternFill patternType="none">
          <bgColor auto="1"/>
        </patternFill>
      </fill>
    </dxf>
    <dxf>
      <border>
        <right style="thin">
          <color auto="1"/>
        </right>
        <vertical/>
        <horizontal/>
      </border>
    </dxf>
    <dxf>
      <border>
        <right style="thin">
          <color auto="1"/>
        </right>
        <vertical/>
        <horizontal/>
      </border>
    </dxf>
    <dxf>
      <border>
        <left style="thin">
          <color auto="1"/>
        </left>
        <right style="thin">
          <color auto="1"/>
        </right>
        <vertical/>
        <horizontal/>
      </border>
    </dxf>
    <dxf>
      <fill>
        <patternFill>
          <bgColor theme="2"/>
        </patternFill>
      </fill>
      <border>
        <left style="thin">
          <color auto="1"/>
        </left>
        <right/>
        <vertical/>
        <horizontal/>
      </border>
    </dxf>
    <dxf>
      <border>
        <left style="thin">
          <color auto="1"/>
        </left>
        <right style="thin">
          <color auto="1"/>
        </right>
        <top/>
        <bottom/>
        <vertical/>
        <horizontal/>
      </border>
    </dxf>
    <dxf>
      <fill>
        <patternFill>
          <bgColor theme="2"/>
        </patternFill>
      </fill>
    </dxf>
    <dxf>
      <fill>
        <patternFill>
          <bgColor theme="2"/>
        </patternFill>
      </fill>
    </dxf>
    <dxf>
      <fill>
        <patternFill>
          <bgColor theme="2"/>
        </patternFill>
      </fill>
    </dxf>
    <dxf>
      <fill>
        <patternFill>
          <bgColor theme="2"/>
        </patternFill>
      </fill>
    </dxf>
    <dxf>
      <font>
        <color theme="0"/>
      </font>
      <fill>
        <patternFill patternType="none">
          <bgColor auto="1"/>
        </patternFill>
      </fill>
    </dxf>
    <dxf>
      <font>
        <color theme="1"/>
      </font>
      <fill>
        <patternFill>
          <bgColor theme="2"/>
        </patternFill>
      </fill>
    </dxf>
    <dxf>
      <numFmt numFmtId="168" formatCode="0.00000"/>
    </dxf>
    <dxf>
      <fill>
        <patternFill>
          <bgColor theme="2"/>
        </patternFill>
      </fill>
      <border>
        <bottom style="thin">
          <color auto="1"/>
        </bottom>
      </border>
    </dxf>
    <dxf>
      <fill>
        <patternFill>
          <bgColor theme="2"/>
        </patternFill>
      </fill>
      <border>
        <bottom style="thin">
          <color auto="1"/>
        </bottom>
        <vertical/>
        <horizontal/>
      </border>
    </dxf>
    <dxf>
      <font>
        <color theme="1"/>
      </font>
      <border>
        <bottom style="thin">
          <color auto="1"/>
        </bottom>
        <vertical/>
        <horizontal/>
      </border>
    </dxf>
    <dxf>
      <fill>
        <patternFill>
          <bgColor theme="2"/>
        </patternFill>
      </fill>
    </dxf>
    <dxf>
      <font>
        <color theme="1"/>
      </font>
      <border>
        <right/>
        <vertical/>
        <horizontal/>
      </border>
    </dxf>
    <dxf>
      <font>
        <color theme="1"/>
      </font>
      <border>
        <right style="thin">
          <color auto="1"/>
        </right>
        <vertical/>
        <horizontal/>
      </border>
    </dxf>
    <dxf>
      <font>
        <color theme="1"/>
      </font>
      <border>
        <right style="thin">
          <color auto="1"/>
        </right>
        <vertical/>
        <horizontal/>
      </border>
    </dxf>
    <dxf>
      <fill>
        <patternFill>
          <bgColor theme="2"/>
        </patternFill>
      </fill>
      <border>
        <bottom style="thin">
          <color auto="1"/>
        </bottom>
        <vertical/>
        <horizontal/>
      </border>
    </dxf>
    <dxf>
      <fill>
        <patternFill>
          <bgColor theme="2"/>
        </patternFill>
      </fill>
      <border>
        <bottom style="thin">
          <color auto="1"/>
        </bottom>
        <vertical/>
        <horizontal/>
      </border>
    </dxf>
    <dxf>
      <border>
        <right style="thin">
          <color auto="1"/>
        </right>
        <vertical/>
        <horizontal/>
      </border>
    </dxf>
    <dxf>
      <fill>
        <patternFill>
          <bgColor theme="2"/>
        </patternFill>
      </fill>
      <border>
        <bottom style="thin">
          <color auto="1"/>
        </bottom>
        <vertical/>
        <horizontal/>
      </border>
    </dxf>
    <dxf>
      <border>
        <right style="thin">
          <color auto="1"/>
        </right>
        <vertical/>
        <horizontal/>
      </border>
    </dxf>
    <dxf>
      <numFmt numFmtId="165" formatCode="0.0000"/>
    </dxf>
    <dxf>
      <numFmt numFmtId="165" formatCode="0.0000"/>
    </dxf>
    <dxf>
      <fill>
        <patternFill>
          <bgColor theme="2"/>
        </patternFill>
      </fill>
    </dxf>
    <dxf>
      <fill>
        <patternFill>
          <bgColor theme="2"/>
        </patternFill>
      </fill>
    </dxf>
    <dxf>
      <fill>
        <patternFill>
          <bgColor theme="2"/>
        </patternFill>
      </fill>
    </dxf>
    <dxf>
      <font>
        <color theme="0"/>
      </font>
      <fill>
        <patternFill patternType="none">
          <bgColor auto="1"/>
        </patternFill>
      </fill>
    </dxf>
    <dxf>
      <fill>
        <patternFill patternType="none">
          <bgColor auto="1"/>
        </patternFill>
      </fill>
    </dxf>
    <dxf>
      <fill>
        <patternFill>
          <bgColor theme="2"/>
        </patternFill>
      </fill>
    </dxf>
    <dxf>
      <numFmt numFmtId="2" formatCode="0.00"/>
    </dxf>
    <dxf>
      <font>
        <b val="0"/>
        <i val="0"/>
        <strike val="0"/>
        <color rgb="FFFF0000"/>
      </font>
      <numFmt numFmtId="0" formatCode="General"/>
    </dxf>
    <dxf>
      <fill>
        <patternFill patternType="none">
          <bgColor auto="1"/>
        </patternFill>
      </fill>
    </dxf>
    <dxf>
      <fill>
        <patternFill patternType="none">
          <bgColor auto="1"/>
        </patternFill>
      </fill>
      <border>
        <left/>
        <right/>
        <top/>
        <bottom/>
        <vertical/>
        <horizontal/>
      </border>
    </dxf>
    <dxf>
      <font>
        <color theme="0"/>
      </font>
      <fill>
        <patternFill patternType="none">
          <bgColor auto="1"/>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border>
    </dxf>
    <dxf>
      <fill>
        <patternFill>
          <bgColor theme="2"/>
        </patternFill>
      </fill>
    </dxf>
    <dxf>
      <border>
        <right style="thin">
          <color auto="1"/>
        </right>
        <vertical/>
        <horizontal/>
      </border>
    </dxf>
    <dxf>
      <border>
        <right style="thin">
          <color auto="1"/>
        </right>
        <vertical/>
        <horizontal/>
      </border>
    </dxf>
    <dxf>
      <fill>
        <patternFill>
          <bgColor theme="2"/>
        </patternFill>
      </fill>
      <border>
        <bottom style="thin">
          <color auto="1"/>
        </bottom>
        <vertical/>
        <horizontal/>
      </border>
    </dxf>
    <dxf>
      <fill>
        <patternFill>
          <bgColor theme="2"/>
        </patternFill>
      </fill>
      <border>
        <bottom style="thin">
          <color auto="1"/>
        </bottom>
        <vertical/>
        <horizontal/>
      </border>
    </dxf>
    <dxf>
      <fill>
        <patternFill>
          <bgColor theme="2"/>
        </patternFill>
      </fill>
      <border>
        <bottom style="thin">
          <color auto="1"/>
        </bottom>
        <vertical/>
        <horizontal/>
      </border>
    </dxf>
    <dxf>
      <fill>
        <patternFill>
          <bgColor theme="2"/>
        </patternFill>
      </fill>
      <border>
        <bottom style="thin">
          <color auto="1"/>
        </bottom>
        <vertical/>
        <horizontal/>
      </border>
    </dxf>
    <dxf>
      <fill>
        <patternFill>
          <bgColor theme="2"/>
        </patternFill>
      </fill>
      <border>
        <bottom style="thin">
          <color auto="1"/>
        </bottom>
        <vertical/>
        <horizontal/>
      </border>
    </dxf>
    <dxf>
      <fill>
        <patternFill>
          <bgColor theme="2"/>
        </patternFill>
      </fill>
      <border>
        <bottom style="thin">
          <color auto="1"/>
        </bottom>
        <vertical/>
        <horizontal/>
      </border>
    </dxf>
    <dxf>
      <fill>
        <patternFill>
          <bgColor theme="2"/>
        </patternFill>
      </fill>
      <border>
        <bottom style="thin">
          <color auto="1"/>
        </bottom>
        <vertical/>
        <horizontal/>
      </border>
    </dxf>
    <dxf>
      <fill>
        <patternFill>
          <bgColor theme="2"/>
        </patternFill>
      </fill>
      <border>
        <bottom style="thin">
          <color auto="1"/>
        </bottom>
        <vertical/>
        <horizontal/>
      </border>
    </dxf>
    <dxf>
      <fill>
        <patternFill>
          <bgColor theme="2"/>
        </patternFill>
      </fill>
    </dxf>
    <dxf>
      <fill>
        <patternFill>
          <bgColor theme="2"/>
        </patternFill>
      </fill>
    </dxf>
    <dxf>
      <border>
        <left style="thin">
          <color auto="1"/>
        </left>
        <vertical/>
        <horizontal/>
      </border>
    </dxf>
    <dxf>
      <border>
        <left style="thin">
          <color auto="1"/>
        </left>
        <vertical/>
        <horizontal/>
      </border>
    </dxf>
    <dxf>
      <border>
        <right style="thin">
          <color auto="1"/>
        </right>
        <vertical/>
        <horizontal/>
      </border>
    </dxf>
    <dxf>
      <border>
        <left/>
        <right/>
        <top/>
        <bottom/>
        <vertical/>
        <horizontal/>
      </border>
    </dxf>
    <dxf>
      <border>
        <right style="thin">
          <color auto="1"/>
        </right>
        <vertical/>
        <horizontal/>
      </border>
    </dxf>
    <dxf>
      <border>
        <left style="thin">
          <color auto="1"/>
        </left>
        <right style="thin">
          <color auto="1"/>
        </right>
        <vertical/>
        <horizontal/>
      </border>
    </dxf>
    <dxf>
      <font>
        <color theme="1"/>
      </font>
      <border>
        <right style="thin">
          <color auto="1"/>
        </right>
        <vertical/>
        <horizontal/>
      </border>
    </dxf>
    <dxf>
      <border>
        <left/>
        <right/>
        <top/>
        <bottom/>
        <vertical/>
        <horizontal/>
      </border>
    </dxf>
    <dxf>
      <border>
        <left/>
        <right/>
        <top/>
        <bottom/>
        <vertical/>
        <horizontal/>
      </border>
    </dxf>
    <dxf>
      <font>
        <b val="0"/>
        <i val="0"/>
        <strike val="0"/>
        <color theme="1"/>
      </font>
      <border>
        <right style="thin">
          <color auto="1"/>
        </right>
        <vertical/>
        <horizontal/>
      </border>
    </dxf>
    <dxf>
      <border>
        <left/>
        <right/>
        <top/>
        <bottom/>
        <vertical/>
        <horizontal/>
      </border>
    </dxf>
    <dxf>
      <font>
        <color theme="0"/>
      </font>
      <border>
        <right/>
        <vertical/>
        <horizontal/>
      </border>
    </dxf>
    <dxf>
      <font>
        <color theme="1"/>
      </font>
      <fill>
        <patternFill patternType="none">
          <bgColor auto="1"/>
        </patternFill>
      </fill>
    </dxf>
    <dxf>
      <fill>
        <patternFill>
          <bgColor theme="2"/>
        </patternFill>
      </fill>
    </dxf>
    <dxf>
      <fill>
        <patternFill patternType="solid">
          <bgColor theme="2"/>
        </patternFill>
      </fill>
      <border>
        <bottom style="thin">
          <color auto="1"/>
        </bottom>
        <vertical/>
        <horizontal/>
      </border>
    </dxf>
    <dxf>
      <fill>
        <patternFill>
          <bgColor theme="2"/>
        </patternFill>
      </fill>
    </dxf>
    <dxf>
      <border>
        <left style="thin">
          <color auto="1"/>
        </left>
        <right style="thin">
          <color auto="1"/>
        </right>
        <vertical/>
        <horizontal/>
      </border>
    </dxf>
    <dxf>
      <fill>
        <patternFill>
          <bgColor theme="2"/>
        </patternFill>
      </fill>
      <border>
        <bottom style="thin">
          <color auto="1"/>
        </bottom>
        <vertical/>
        <horizontal/>
      </border>
    </dxf>
    <dxf>
      <fill>
        <patternFill>
          <bgColor theme="2"/>
        </patternFill>
      </fill>
    </dxf>
    <dxf>
      <border>
        <left style="thin">
          <color auto="1"/>
        </left>
        <vertical/>
        <horizontal/>
      </border>
    </dxf>
    <dxf>
      <fill>
        <patternFill>
          <bgColor theme="2"/>
        </patternFill>
      </fill>
      <border>
        <bottom style="thin">
          <color auto="1"/>
        </bottom>
        <vertical/>
        <horizontal/>
      </border>
    </dxf>
    <dxf>
      <border>
        <left style="thin">
          <color auto="1"/>
        </left>
        <vertical/>
        <horizontal/>
      </border>
    </dxf>
    <dxf>
      <fill>
        <patternFill>
          <bgColor theme="2"/>
        </patternFill>
      </fill>
      <border>
        <bottom style="thin">
          <color auto="1"/>
        </bottom>
        <vertical/>
        <horizontal/>
      </border>
    </dxf>
    <dxf>
      <fill>
        <patternFill>
          <bgColor theme="2"/>
        </patternFill>
      </fill>
      <border>
        <top/>
        <vertical/>
        <horizontal/>
      </border>
    </dxf>
    <dxf>
      <fill>
        <patternFill>
          <bgColor theme="2"/>
        </patternFill>
      </fill>
      <border>
        <left style="thin">
          <color auto="1"/>
        </left>
        <right style="thin">
          <color auto="1"/>
        </right>
        <bottom style="thin">
          <color auto="1"/>
        </bottom>
        <vertical/>
        <horizontal/>
      </border>
    </dxf>
    <dxf>
      <fill>
        <patternFill patternType="solid">
          <bgColor theme="2"/>
        </patternFill>
      </fill>
      <border>
        <bottom style="thin">
          <color auto="1"/>
        </bottom>
      </border>
    </dxf>
    <dxf>
      <fill>
        <patternFill>
          <bgColor theme="2"/>
        </patternFill>
      </fill>
      <border>
        <right/>
        <bottom style="thin">
          <color auto="1"/>
        </bottom>
        <vertical/>
        <horizontal/>
      </border>
    </dxf>
    <dxf>
      <fill>
        <patternFill>
          <bgColor theme="2"/>
        </patternFill>
      </fill>
      <border>
        <left style="thin">
          <color auto="1"/>
        </left>
        <right style="thin">
          <color auto="1"/>
        </right>
        <vertical/>
        <horizontal/>
      </border>
    </dxf>
    <dxf>
      <font>
        <color theme="1"/>
      </font>
      <fill>
        <patternFill>
          <bgColor theme="2"/>
        </patternFill>
      </fill>
      <border>
        <left style="thin">
          <color auto="1"/>
        </left>
        <right style="thin">
          <color auto="1"/>
        </right>
        <top/>
        <bottom style="thin">
          <color auto="1"/>
        </bottom>
        <vertical/>
        <horizontal/>
      </border>
    </dxf>
    <dxf>
      <fill>
        <patternFill>
          <bgColor theme="2"/>
        </patternFill>
      </fill>
    </dxf>
    <dxf>
      <fill>
        <patternFill>
          <bgColor theme="2"/>
        </patternFill>
      </fill>
      <border>
        <left style="thin">
          <color auto="1"/>
        </left>
        <right style="thin">
          <color auto="1"/>
        </right>
      </border>
    </dxf>
    <dxf>
      <fill>
        <patternFill>
          <bgColor theme="2"/>
        </patternFill>
      </fill>
      <border>
        <right/>
      </border>
    </dxf>
    <dxf>
      <fill>
        <patternFill>
          <bgColor theme="2"/>
        </patternFill>
      </fill>
      <border>
        <right style="thin">
          <color auto="1"/>
        </right>
      </border>
    </dxf>
    <dxf>
      <fill>
        <patternFill>
          <bgColor theme="0" tint="-0.14996795556505021"/>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9" defaultPivotStyle="PivotStyleLight16"/>
  <colors>
    <mruColors>
      <color rgb="FF66FF33"/>
      <color rgb="FF66FF99"/>
      <color rgb="FF000000"/>
      <color rgb="FF110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E61C7-C681-417F-9280-144ED3A24DC4}">
  <sheetPr codeName="Sheet8">
    <pageSetUpPr fitToPage="1"/>
  </sheetPr>
  <dimension ref="A1:K45"/>
  <sheetViews>
    <sheetView tabSelected="1" zoomScaleNormal="100" workbookViewId="0">
      <selection activeCell="A2" sqref="A2:G2"/>
    </sheetView>
  </sheetViews>
  <sheetFormatPr defaultColWidth="0" defaultRowHeight="15" zeroHeight="1" x14ac:dyDescent="0.25"/>
  <cols>
    <col min="1" max="4" width="9.140625" customWidth="1"/>
    <col min="5" max="5" width="30.140625" customWidth="1"/>
    <col min="6" max="7" width="9.140625" customWidth="1"/>
    <col min="8" max="11" width="0" hidden="1" customWidth="1"/>
    <col min="12" max="16384" width="9.140625" hidden="1"/>
  </cols>
  <sheetData>
    <row r="1" spans="1:11" s="2" customFormat="1" x14ac:dyDescent="0.25">
      <c r="A1" s="241" t="s">
        <v>142</v>
      </c>
      <c r="B1" s="241"/>
      <c r="C1" s="241"/>
      <c r="D1" s="241"/>
      <c r="E1" s="241"/>
      <c r="F1" s="241"/>
      <c r="G1" s="241"/>
    </row>
    <row r="2" spans="1:11" ht="43.5" customHeight="1" x14ac:dyDescent="0.25">
      <c r="A2" s="240" t="s">
        <v>153</v>
      </c>
      <c r="B2" s="240"/>
      <c r="C2" s="240"/>
      <c r="D2" s="240"/>
      <c r="E2" s="240"/>
      <c r="F2" s="240"/>
      <c r="G2" s="240"/>
      <c r="H2" s="175"/>
      <c r="I2" s="175"/>
      <c r="J2" s="175"/>
      <c r="K2" s="175"/>
    </row>
    <row r="3" spans="1:11" s="245" customFormat="1" ht="43.5" customHeight="1" x14ac:dyDescent="0.25">
      <c r="A3" s="244" t="s">
        <v>158</v>
      </c>
    </row>
    <row r="4" spans="1:11" ht="15" customHeight="1" x14ac:dyDescent="0.25">
      <c r="A4" s="242" t="s">
        <v>159</v>
      </c>
      <c r="B4" s="242"/>
      <c r="C4" s="242"/>
      <c r="D4" s="242"/>
      <c r="E4" s="242"/>
      <c r="F4" s="242"/>
      <c r="G4" s="242"/>
    </row>
    <row r="5" spans="1:11" x14ac:dyDescent="0.25">
      <c r="A5" s="242"/>
      <c r="B5" s="242"/>
      <c r="C5" s="242"/>
      <c r="D5" s="242"/>
      <c r="E5" s="242"/>
      <c r="F5" s="242"/>
      <c r="G5" s="242"/>
    </row>
    <row r="6" spans="1:11" x14ac:dyDescent="0.25">
      <c r="A6" s="242"/>
      <c r="B6" s="242"/>
      <c r="C6" s="242"/>
      <c r="D6" s="242"/>
      <c r="E6" s="242"/>
      <c r="F6" s="242"/>
      <c r="G6" s="242"/>
    </row>
    <row r="7" spans="1:11" x14ac:dyDescent="0.25">
      <c r="A7" s="242"/>
      <c r="B7" s="242"/>
      <c r="C7" s="242"/>
      <c r="D7" s="242"/>
      <c r="E7" s="242"/>
      <c r="F7" s="242"/>
      <c r="G7" s="242"/>
    </row>
    <row r="8" spans="1:11" x14ac:dyDescent="0.25">
      <c r="A8" s="242"/>
      <c r="B8" s="242"/>
      <c r="C8" s="242"/>
      <c r="D8" s="242"/>
      <c r="E8" s="242"/>
      <c r="F8" s="242"/>
      <c r="G8" s="242"/>
    </row>
    <row r="9" spans="1:11" x14ac:dyDescent="0.25">
      <c r="A9" s="242"/>
      <c r="B9" s="242"/>
      <c r="C9" s="242"/>
      <c r="D9" s="242"/>
      <c r="E9" s="242"/>
      <c r="F9" s="242"/>
      <c r="G9" s="242"/>
    </row>
    <row r="10" spans="1:11" x14ac:dyDescent="0.25">
      <c r="A10" s="242"/>
      <c r="B10" s="242"/>
      <c r="C10" s="242"/>
      <c r="D10" s="242"/>
      <c r="E10" s="242"/>
      <c r="F10" s="242"/>
      <c r="G10" s="242"/>
    </row>
    <row r="11" spans="1:11" ht="24" customHeight="1" x14ac:dyDescent="0.25">
      <c r="A11" s="242"/>
      <c r="B11" s="242"/>
      <c r="C11" s="242"/>
      <c r="D11" s="242"/>
      <c r="E11" s="242"/>
      <c r="F11" s="242"/>
      <c r="G11" s="242"/>
    </row>
    <row r="12" spans="1:11" x14ac:dyDescent="0.25">
      <c r="A12" s="243" t="s">
        <v>115</v>
      </c>
      <c r="B12" s="243"/>
      <c r="C12" s="243"/>
      <c r="D12" s="243"/>
      <c r="E12" s="243"/>
      <c r="F12" s="243"/>
      <c r="G12" s="243"/>
    </row>
    <row r="13" spans="1:11" hidden="1" x14ac:dyDescent="0.25">
      <c r="A13" s="84"/>
      <c r="B13" s="84"/>
      <c r="C13" s="84"/>
      <c r="D13" s="84"/>
      <c r="E13" s="84"/>
      <c r="F13" s="84"/>
      <c r="G13" s="84"/>
    </row>
    <row r="14" spans="1:11" hidden="1" x14ac:dyDescent="0.25">
      <c r="A14" s="84"/>
      <c r="B14" s="84"/>
      <c r="C14" s="84"/>
      <c r="D14" s="84"/>
      <c r="E14" s="84"/>
      <c r="F14" s="84"/>
      <c r="G14" s="84"/>
    </row>
    <row r="15" spans="1:11" hidden="1" x14ac:dyDescent="0.25">
      <c r="A15" s="84"/>
      <c r="B15" s="84"/>
      <c r="C15" s="84"/>
      <c r="D15" s="84"/>
      <c r="E15" s="84"/>
      <c r="F15" s="84"/>
      <c r="G15" s="84"/>
    </row>
    <row r="16" spans="1:11" hidden="1" x14ac:dyDescent="0.25">
      <c r="A16" s="84"/>
      <c r="B16" s="84"/>
      <c r="C16" s="177"/>
      <c r="D16" s="84"/>
      <c r="E16" s="84"/>
      <c r="F16" s="84"/>
      <c r="G16" s="84"/>
    </row>
    <row r="17" spans="1:7" hidden="1" x14ac:dyDescent="0.25">
      <c r="A17" s="84"/>
      <c r="B17" s="84"/>
      <c r="C17" s="84"/>
      <c r="D17" s="84"/>
      <c r="E17" s="84"/>
      <c r="F17" s="84"/>
      <c r="G17" s="84"/>
    </row>
    <row r="18" spans="1:7" hidden="1" x14ac:dyDescent="0.25">
      <c r="A18" s="84"/>
      <c r="B18" s="84"/>
      <c r="C18" s="84"/>
      <c r="D18" s="84"/>
      <c r="E18" s="84"/>
      <c r="F18" s="84"/>
      <c r="G18" s="84"/>
    </row>
    <row r="19" spans="1:7" hidden="1" x14ac:dyDescent="0.25">
      <c r="A19" s="84"/>
      <c r="B19" s="84"/>
      <c r="C19" s="84"/>
      <c r="D19" s="84"/>
      <c r="E19" s="84"/>
      <c r="F19" s="84"/>
      <c r="G19" s="84"/>
    </row>
    <row r="20" spans="1:7" hidden="1" x14ac:dyDescent="0.25">
      <c r="A20" s="84"/>
      <c r="B20" s="84"/>
      <c r="C20" s="84"/>
      <c r="D20" s="84"/>
      <c r="E20" s="84"/>
      <c r="F20" s="84"/>
      <c r="G20" s="84"/>
    </row>
    <row r="21" spans="1:7" hidden="1" x14ac:dyDescent="0.25">
      <c r="A21" s="84"/>
      <c r="B21" s="84"/>
      <c r="C21" s="84"/>
      <c r="D21" s="84"/>
      <c r="E21" s="84"/>
      <c r="F21" s="84"/>
      <c r="G21" s="84"/>
    </row>
    <row r="22" spans="1:7" hidden="1" x14ac:dyDescent="0.25">
      <c r="A22" s="84"/>
      <c r="B22" s="84"/>
      <c r="C22" s="84"/>
      <c r="D22" s="84"/>
      <c r="E22" s="84"/>
      <c r="F22" s="84"/>
      <c r="G22" s="84"/>
    </row>
    <row r="23" spans="1:7" hidden="1" x14ac:dyDescent="0.25">
      <c r="A23" s="84"/>
      <c r="B23" s="84"/>
      <c r="C23" s="84"/>
      <c r="D23" s="84"/>
      <c r="E23" s="84"/>
      <c r="F23" s="84"/>
      <c r="G23" s="84"/>
    </row>
    <row r="24" spans="1:7" hidden="1" x14ac:dyDescent="0.25">
      <c r="A24" s="84"/>
      <c r="B24" s="84"/>
      <c r="C24" s="84"/>
      <c r="D24" s="84"/>
      <c r="E24" s="84"/>
      <c r="F24" s="84"/>
      <c r="G24" s="84"/>
    </row>
    <row r="25" spans="1:7" hidden="1" x14ac:dyDescent="0.25">
      <c r="A25" s="84"/>
      <c r="B25" s="84"/>
      <c r="C25" s="84"/>
      <c r="D25" s="84"/>
      <c r="E25" s="84"/>
      <c r="F25" s="84"/>
      <c r="G25" s="84"/>
    </row>
    <row r="26" spans="1:7" hidden="1" x14ac:dyDescent="0.25">
      <c r="A26" s="84"/>
      <c r="B26" s="84"/>
      <c r="C26" s="84"/>
      <c r="D26" s="84"/>
      <c r="E26" s="84"/>
      <c r="F26" s="84"/>
      <c r="G26" s="84"/>
    </row>
    <row r="27" spans="1:7" hidden="1" x14ac:dyDescent="0.25">
      <c r="A27" s="84"/>
      <c r="B27" s="84"/>
      <c r="C27" s="84"/>
      <c r="D27" s="84"/>
      <c r="E27" s="84"/>
      <c r="F27" s="84"/>
      <c r="G27" s="84"/>
    </row>
    <row r="28" spans="1:7" hidden="1" x14ac:dyDescent="0.25">
      <c r="A28" s="84"/>
      <c r="B28" s="84"/>
      <c r="C28" s="84"/>
      <c r="D28" s="84"/>
      <c r="E28" s="84"/>
      <c r="F28" s="84"/>
      <c r="G28" s="84"/>
    </row>
    <row r="29" spans="1:7" hidden="1" x14ac:dyDescent="0.25">
      <c r="A29" s="84"/>
      <c r="B29" s="84"/>
      <c r="C29" s="84"/>
      <c r="D29" s="84"/>
      <c r="E29" s="84"/>
      <c r="F29" s="84"/>
      <c r="G29" s="84"/>
    </row>
    <row r="30" spans="1:7" hidden="1" x14ac:dyDescent="0.25">
      <c r="A30" s="84"/>
      <c r="B30" s="84"/>
      <c r="C30" s="84"/>
      <c r="D30" s="84"/>
      <c r="E30" s="84"/>
      <c r="F30" s="84"/>
      <c r="G30" s="84"/>
    </row>
    <row r="31" spans="1:7" hidden="1" x14ac:dyDescent="0.25">
      <c r="A31" s="84"/>
      <c r="B31" s="84"/>
      <c r="C31" s="84"/>
      <c r="D31" s="84"/>
      <c r="E31" s="84"/>
      <c r="F31" s="84"/>
      <c r="G31" s="84"/>
    </row>
    <row r="32" spans="1:7" hidden="1" x14ac:dyDescent="0.25">
      <c r="A32" s="84"/>
      <c r="B32" s="84"/>
      <c r="C32" s="84"/>
      <c r="D32" s="84"/>
      <c r="E32" s="84"/>
      <c r="F32" s="84"/>
      <c r="G32" s="84"/>
    </row>
    <row r="33" spans="1:7" hidden="1" x14ac:dyDescent="0.25">
      <c r="A33" s="84"/>
      <c r="B33" s="84"/>
      <c r="C33" s="84"/>
      <c r="D33" s="84"/>
      <c r="E33" s="84"/>
      <c r="F33" s="84"/>
      <c r="G33" s="84"/>
    </row>
    <row r="34" spans="1:7" hidden="1" x14ac:dyDescent="0.25">
      <c r="A34" s="84"/>
      <c r="B34" s="84"/>
      <c r="C34" s="84"/>
      <c r="D34" s="84"/>
      <c r="E34" s="84"/>
      <c r="F34" s="84"/>
      <c r="G34" s="84"/>
    </row>
    <row r="35" spans="1:7" hidden="1" x14ac:dyDescent="0.25">
      <c r="A35" s="84"/>
      <c r="B35" s="84"/>
      <c r="C35" s="84"/>
      <c r="D35" s="84"/>
      <c r="E35" s="84"/>
      <c r="F35" s="84"/>
      <c r="G35" s="84"/>
    </row>
    <row r="36" spans="1:7" hidden="1" x14ac:dyDescent="0.25">
      <c r="A36" s="84"/>
      <c r="B36" s="84"/>
      <c r="C36" s="84"/>
      <c r="D36" s="84"/>
      <c r="E36" s="84"/>
      <c r="F36" s="84"/>
      <c r="G36" s="84"/>
    </row>
    <row r="37" spans="1:7" hidden="1" x14ac:dyDescent="0.25">
      <c r="A37" s="84"/>
      <c r="B37" s="84"/>
      <c r="C37" s="84"/>
      <c r="D37" s="84"/>
      <c r="E37" s="84"/>
      <c r="F37" s="84"/>
      <c r="G37" s="84"/>
    </row>
    <row r="38" spans="1:7" hidden="1" x14ac:dyDescent="0.25">
      <c r="A38" s="84"/>
      <c r="B38" s="84"/>
      <c r="C38" s="84"/>
      <c r="D38" s="84"/>
      <c r="E38" s="84"/>
      <c r="F38" s="84"/>
      <c r="G38" s="84"/>
    </row>
    <row r="39" spans="1:7" hidden="1" x14ac:dyDescent="0.25">
      <c r="A39" s="84"/>
      <c r="B39" s="84"/>
      <c r="C39" s="84"/>
      <c r="D39" s="84"/>
      <c r="E39" s="84"/>
      <c r="F39" s="84"/>
      <c r="G39" s="84"/>
    </row>
    <row r="40" spans="1:7" hidden="1" x14ac:dyDescent="0.25">
      <c r="A40" s="84"/>
      <c r="B40" s="84"/>
      <c r="C40" s="84"/>
      <c r="D40" s="84"/>
      <c r="E40" s="84"/>
      <c r="F40" s="84"/>
      <c r="G40" s="84"/>
    </row>
    <row r="41" spans="1:7" hidden="1" x14ac:dyDescent="0.25">
      <c r="A41" s="84"/>
      <c r="B41" s="84"/>
      <c r="C41" s="84"/>
      <c r="D41" s="84"/>
      <c r="E41" s="84"/>
      <c r="F41" s="84"/>
      <c r="G41" s="84"/>
    </row>
    <row r="42" spans="1:7" hidden="1" x14ac:dyDescent="0.25">
      <c r="A42" s="84"/>
      <c r="B42" s="84"/>
      <c r="C42" s="84"/>
      <c r="D42" s="84"/>
      <c r="E42" s="84"/>
      <c r="F42" s="84"/>
      <c r="G42" s="84"/>
    </row>
    <row r="43" spans="1:7" hidden="1" x14ac:dyDescent="0.25">
      <c r="A43" s="84"/>
      <c r="B43" s="84"/>
      <c r="C43" s="84"/>
      <c r="D43" s="84"/>
      <c r="E43" s="84"/>
      <c r="F43" s="84"/>
      <c r="G43" s="84"/>
    </row>
    <row r="44" spans="1:7" hidden="1" x14ac:dyDescent="0.25">
      <c r="A44" s="84"/>
      <c r="B44" s="84"/>
      <c r="C44" s="84"/>
      <c r="D44" s="84"/>
      <c r="E44" s="84"/>
      <c r="F44" s="84"/>
      <c r="G44" s="84"/>
    </row>
    <row r="45" spans="1:7" hidden="1" x14ac:dyDescent="0.25">
      <c r="A45" s="84"/>
      <c r="B45" s="84"/>
      <c r="C45" s="84"/>
      <c r="D45" s="84"/>
      <c r="E45" s="84"/>
      <c r="F45" s="84"/>
      <c r="G45" s="84"/>
    </row>
  </sheetData>
  <sheetProtection algorithmName="SHA-512" hashValue="xXU/oeXnvPaQQDgTGmFNWtvGVejNRwWopKZWzrbr0Pz7QIsZLa7bytK0sbsfJfVfvV2WgXe7V5mfObzMDlDaUQ==" saltValue="6qUiGK1ckAOFxn+A9he+Qg==" spinCount="100000" sheet="1" objects="1" scenarios="1"/>
  <mergeCells count="5">
    <mergeCell ref="A2:G2"/>
    <mergeCell ref="A1:G1"/>
    <mergeCell ref="A4:G11"/>
    <mergeCell ref="A12:G12"/>
    <mergeCell ref="A3:XFD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C391"/>
  <sheetViews>
    <sheetView zoomScale="85" zoomScaleNormal="85" zoomScaleSheetLayoutView="100" workbookViewId="0">
      <selection activeCell="A23" sqref="A23:E24"/>
    </sheetView>
  </sheetViews>
  <sheetFormatPr defaultColWidth="0" defaultRowHeight="15" zeroHeight="1" x14ac:dyDescent="0.25"/>
  <cols>
    <col min="1" max="1" width="30.7109375" style="9" customWidth="1"/>
    <col min="2" max="5" width="14.7109375" style="9" customWidth="1"/>
    <col min="6" max="6" width="9" style="9" hidden="1" customWidth="1"/>
    <col min="7" max="7" width="5.5703125" style="9" hidden="1" customWidth="1"/>
    <col min="8" max="8" width="9.5703125" style="9" hidden="1" customWidth="1"/>
    <col min="9" max="9" width="8.5703125" style="9" hidden="1" customWidth="1"/>
    <col min="10" max="30" width="0" style="9" hidden="1" customWidth="1"/>
    <col min="31" max="16383" width="9.140625" style="9" hidden="1"/>
    <col min="16384" max="16384" width="5.7109375" style="9" hidden="1" customWidth="1"/>
  </cols>
  <sheetData>
    <row r="1" spans="1:22" s="55" customFormat="1" ht="13.5" customHeight="1" thickBot="1" x14ac:dyDescent="0.3">
      <c r="A1" s="249" t="s">
        <v>139</v>
      </c>
      <c r="B1" s="249"/>
      <c r="C1" s="249"/>
      <c r="D1" s="249"/>
      <c r="E1" s="249"/>
      <c r="F1" s="92"/>
      <c r="G1" s="92"/>
      <c r="H1" s="92"/>
      <c r="I1" s="92"/>
    </row>
    <row r="2" spans="1:22" s="101" customFormat="1" ht="41.25" customHeight="1" thickBot="1" x14ac:dyDescent="0.3">
      <c r="A2" s="250" t="s">
        <v>86</v>
      </c>
      <c r="B2" s="250"/>
      <c r="C2" s="250"/>
      <c r="D2" s="250"/>
      <c r="E2" s="250"/>
      <c r="F2" s="102"/>
      <c r="G2" s="102"/>
      <c r="H2" s="102"/>
      <c r="I2" s="102"/>
      <c r="J2" s="102"/>
      <c r="K2" s="102"/>
      <c r="L2" s="102"/>
      <c r="M2" s="102"/>
      <c r="N2" s="102"/>
      <c r="O2" s="102"/>
      <c r="P2" s="102"/>
      <c r="Q2" s="102"/>
      <c r="R2" s="102"/>
      <c r="S2" s="102"/>
      <c r="T2" s="102"/>
      <c r="U2" s="102"/>
      <c r="V2" s="102"/>
    </row>
    <row r="3" spans="1:22" ht="115.5" customHeight="1" x14ac:dyDescent="0.25">
      <c r="A3" s="251" t="s">
        <v>154</v>
      </c>
      <c r="B3" s="251"/>
      <c r="C3" s="251"/>
      <c r="D3" s="251"/>
      <c r="E3" s="251"/>
      <c r="F3" s="85"/>
      <c r="G3" s="85"/>
      <c r="H3" s="85"/>
      <c r="I3" s="85"/>
      <c r="J3" s="11"/>
      <c r="K3" s="10"/>
      <c r="L3" s="10"/>
      <c r="M3" s="10"/>
      <c r="N3" s="10"/>
      <c r="O3" s="10"/>
      <c r="P3" s="10"/>
      <c r="Q3" s="10"/>
      <c r="R3" s="10"/>
      <c r="S3" s="10"/>
      <c r="T3" s="10"/>
      <c r="U3" s="10"/>
      <c r="V3" s="10"/>
    </row>
    <row r="4" spans="1:22" ht="28.5" customHeight="1" thickBot="1" x14ac:dyDescent="0.3">
      <c r="A4" s="200" t="s">
        <v>17</v>
      </c>
      <c r="B4" s="94" t="s">
        <v>21</v>
      </c>
      <c r="C4" s="95" t="s">
        <v>18</v>
      </c>
      <c r="D4" s="95" t="s">
        <v>19</v>
      </c>
      <c r="E4" s="96" t="s">
        <v>20</v>
      </c>
      <c r="F4" s="57"/>
      <c r="G4" s="57"/>
      <c r="H4" s="57"/>
      <c r="I4" s="61"/>
      <c r="J4" s="86"/>
      <c r="K4" s="10"/>
      <c r="L4" s="10"/>
      <c r="M4" s="12"/>
      <c r="N4" s="12"/>
      <c r="O4" s="12"/>
      <c r="P4" s="12"/>
      <c r="Q4" s="10"/>
      <c r="R4" s="10"/>
      <c r="S4" s="10"/>
      <c r="T4" s="10"/>
      <c r="U4" s="10"/>
      <c r="V4" s="10"/>
    </row>
    <row r="5" spans="1:22" s="13" customFormat="1" ht="28.5" customHeight="1" thickTop="1" x14ac:dyDescent="0.25">
      <c r="A5" s="128" t="s">
        <v>17</v>
      </c>
      <c r="B5" s="93"/>
      <c r="C5" s="93"/>
      <c r="D5" s="93"/>
      <c r="E5" s="104"/>
      <c r="F5" s="56"/>
      <c r="G5" s="87"/>
      <c r="H5" s="87"/>
      <c r="I5" s="87"/>
      <c r="J5" s="10"/>
      <c r="K5" s="10"/>
      <c r="L5" s="12"/>
      <c r="M5" s="4"/>
      <c r="N5" s="4"/>
      <c r="O5" s="12"/>
      <c r="P5" s="10"/>
      <c r="Q5" s="10"/>
      <c r="R5" s="10"/>
      <c r="S5" s="10"/>
      <c r="T5" s="10"/>
      <c r="U5" s="10"/>
      <c r="V5" s="10"/>
    </row>
    <row r="6" spans="1:22" ht="28.5" customHeight="1" thickBot="1" x14ac:dyDescent="0.3">
      <c r="A6" s="200" t="s">
        <v>90</v>
      </c>
      <c r="B6" s="97" t="s">
        <v>89</v>
      </c>
      <c r="C6" s="98" t="s">
        <v>88</v>
      </c>
      <c r="D6" s="128" t="s">
        <v>92</v>
      </c>
      <c r="E6" s="129" t="s">
        <v>92</v>
      </c>
      <c r="F6" s="88"/>
      <c r="G6" s="87"/>
      <c r="H6" s="10"/>
      <c r="I6" s="10"/>
      <c r="J6" s="12"/>
      <c r="K6" s="4"/>
      <c r="L6" s="4"/>
      <c r="M6" s="12"/>
      <c r="N6" s="10"/>
      <c r="O6" s="10"/>
      <c r="P6" s="10"/>
      <c r="Q6" s="10"/>
      <c r="R6" s="10"/>
      <c r="S6" s="10"/>
      <c r="T6" s="10"/>
    </row>
    <row r="7" spans="1:22" ht="28.5" customHeight="1" thickTop="1" x14ac:dyDescent="0.25">
      <c r="A7" s="128" t="s">
        <v>90</v>
      </c>
      <c r="B7" s="93"/>
      <c r="C7" s="104"/>
      <c r="D7" s="128" t="s">
        <v>92</v>
      </c>
      <c r="E7" s="128" t="s">
        <v>92</v>
      </c>
      <c r="F7" s="87"/>
      <c r="G7" s="87"/>
      <c r="H7" s="10"/>
      <c r="I7" s="10"/>
      <c r="J7" s="12"/>
      <c r="K7" s="4"/>
      <c r="L7" s="4"/>
      <c r="M7" s="12"/>
      <c r="N7" s="10"/>
      <c r="O7" s="10"/>
      <c r="P7" s="10"/>
      <c r="Q7" s="10"/>
      <c r="R7" s="10"/>
      <c r="S7" s="10"/>
      <c r="T7" s="10"/>
    </row>
    <row r="8" spans="1:22" ht="33.75" customHeight="1" thickBot="1" x14ac:dyDescent="0.3">
      <c r="A8" s="200" t="s">
        <v>84</v>
      </c>
      <c r="B8" s="130" t="s">
        <v>85</v>
      </c>
      <c r="C8" s="128" t="s">
        <v>92</v>
      </c>
      <c r="D8" s="128" t="s">
        <v>92</v>
      </c>
      <c r="E8" s="128" t="s">
        <v>92</v>
      </c>
      <c r="F8" s="12"/>
      <c r="G8" s="4"/>
      <c r="H8" s="4"/>
      <c r="I8" s="10"/>
      <c r="J8" s="10"/>
      <c r="K8" s="12"/>
      <c r="L8" s="4"/>
      <c r="M8" s="4"/>
      <c r="N8" s="12"/>
      <c r="O8" s="10"/>
      <c r="P8" s="10"/>
      <c r="Q8" s="10"/>
      <c r="R8" s="10"/>
      <c r="S8" s="10"/>
      <c r="T8" s="10"/>
      <c r="U8" s="10"/>
    </row>
    <row r="9" spans="1:22" ht="29.25" customHeight="1" thickTop="1" x14ac:dyDescent="0.25">
      <c r="A9" s="131" t="s">
        <v>84</v>
      </c>
      <c r="B9" s="125"/>
      <c r="C9" s="128" t="s">
        <v>92</v>
      </c>
      <c r="D9" s="128" t="s">
        <v>92</v>
      </c>
      <c r="E9" s="132" t="s">
        <v>92</v>
      </c>
      <c r="F9" s="58"/>
      <c r="G9" s="59"/>
      <c r="H9" s="12"/>
      <c r="I9" s="10"/>
      <c r="J9" s="10"/>
      <c r="K9" s="10"/>
      <c r="L9" s="10"/>
      <c r="M9" s="10"/>
      <c r="N9" s="10"/>
      <c r="O9" s="10"/>
    </row>
    <row r="10" spans="1:22" ht="36" customHeight="1" thickBot="1" x14ac:dyDescent="0.3">
      <c r="A10" s="253" t="s">
        <v>24</v>
      </c>
      <c r="B10" s="253"/>
      <c r="C10" s="253"/>
      <c r="D10" s="176" t="s">
        <v>92</v>
      </c>
      <c r="E10" s="176" t="s">
        <v>92</v>
      </c>
      <c r="F10" s="59"/>
      <c r="G10" s="12"/>
      <c r="H10" s="10"/>
      <c r="I10" s="10"/>
      <c r="J10" s="10"/>
      <c r="K10" s="10"/>
      <c r="L10" s="10"/>
      <c r="M10" s="10"/>
      <c r="N10" s="10"/>
    </row>
    <row r="11" spans="1:22" ht="39" customHeight="1" thickTop="1" x14ac:dyDescent="0.25">
      <c r="A11" s="247" t="s">
        <v>64</v>
      </c>
      <c r="B11" s="248"/>
      <c r="C11" s="163"/>
      <c r="D11" s="128" t="s">
        <v>92</v>
      </c>
      <c r="E11" s="128" t="s">
        <v>92</v>
      </c>
      <c r="F11" s="60"/>
      <c r="G11" s="60"/>
      <c r="H11" s="62"/>
      <c r="I11" s="10"/>
      <c r="J11" s="10"/>
      <c r="K11" s="10"/>
      <c r="L11" s="12"/>
      <c r="M11" s="4"/>
      <c r="N11" s="4"/>
      <c r="O11" s="4"/>
      <c r="P11" s="10"/>
      <c r="Q11" s="10"/>
      <c r="R11" s="10"/>
      <c r="S11" s="10"/>
      <c r="T11" s="10"/>
      <c r="U11" s="10"/>
    </row>
    <row r="12" spans="1:22" ht="32.25" customHeight="1" x14ac:dyDescent="0.25">
      <c r="A12" s="160" t="s">
        <v>25</v>
      </c>
      <c r="B12" s="161" t="s">
        <v>117</v>
      </c>
      <c r="C12" s="161" t="s">
        <v>116</v>
      </c>
      <c r="D12" s="128" t="s">
        <v>92</v>
      </c>
      <c r="E12" s="128" t="s">
        <v>92</v>
      </c>
      <c r="F12" s="56"/>
      <c r="G12" s="56"/>
      <c r="H12" s="60"/>
      <c r="I12" s="10"/>
      <c r="J12" s="10"/>
      <c r="K12" s="10"/>
      <c r="L12" s="12"/>
      <c r="M12" s="17"/>
      <c r="N12" s="17"/>
      <c r="O12" s="4"/>
      <c r="P12" s="10"/>
      <c r="Q12" s="10"/>
      <c r="R12" s="10"/>
      <c r="S12" s="10"/>
      <c r="T12" s="10"/>
      <c r="U12" s="10"/>
    </row>
    <row r="13" spans="1:22" ht="18" customHeight="1" x14ac:dyDescent="0.25">
      <c r="A13" s="99" t="s">
        <v>5</v>
      </c>
      <c r="B13" s="107">
        <v>1865</v>
      </c>
      <c r="C13" s="214"/>
      <c r="D13" s="128" t="s">
        <v>92</v>
      </c>
      <c r="E13" s="128" t="s">
        <v>92</v>
      </c>
      <c r="F13" s="56"/>
      <c r="G13" s="56"/>
      <c r="H13" s="60"/>
      <c r="I13" s="10"/>
      <c r="J13" s="10"/>
      <c r="K13" s="10"/>
      <c r="L13" s="12"/>
      <c r="M13" s="17"/>
      <c r="N13" s="17"/>
      <c r="O13" s="4"/>
      <c r="P13" s="10"/>
      <c r="Q13" s="10"/>
      <c r="R13" s="10"/>
      <c r="S13" s="10"/>
      <c r="T13" s="10"/>
      <c r="U13" s="10"/>
    </row>
    <row r="14" spans="1:22" ht="18" customHeight="1" x14ac:dyDescent="0.25">
      <c r="A14" s="99" t="s">
        <v>8</v>
      </c>
      <c r="B14" s="107">
        <v>1428</v>
      </c>
      <c r="C14" s="214"/>
      <c r="D14" s="128" t="s">
        <v>92</v>
      </c>
      <c r="E14" s="128" t="s">
        <v>92</v>
      </c>
      <c r="F14" s="56"/>
      <c r="G14" s="56"/>
      <c r="H14" s="60"/>
      <c r="I14" s="10"/>
      <c r="J14" s="10"/>
      <c r="K14" s="10"/>
      <c r="L14" s="12"/>
      <c r="M14" s="5"/>
      <c r="N14" s="5"/>
      <c r="O14" s="12"/>
      <c r="P14" s="10"/>
      <c r="Q14" s="10"/>
      <c r="R14" s="10"/>
      <c r="S14" s="10"/>
      <c r="T14" s="10"/>
      <c r="U14" s="10"/>
    </row>
    <row r="15" spans="1:22" ht="18" customHeight="1" x14ac:dyDescent="0.25">
      <c r="A15" s="99" t="s">
        <v>10</v>
      </c>
      <c r="B15" s="107">
        <v>491</v>
      </c>
      <c r="C15" s="214"/>
      <c r="D15" s="128" t="s">
        <v>92</v>
      </c>
      <c r="E15" s="128" t="s">
        <v>92</v>
      </c>
      <c r="F15" s="56"/>
      <c r="G15" s="56"/>
      <c r="H15" s="63"/>
      <c r="I15" s="10"/>
      <c r="J15" s="10"/>
      <c r="K15" s="18"/>
      <c r="L15" s="5"/>
      <c r="M15" s="5"/>
      <c r="N15" s="12"/>
      <c r="O15" s="10"/>
      <c r="P15" s="10"/>
      <c r="Q15" s="10"/>
      <c r="R15" s="10"/>
      <c r="S15" s="10"/>
      <c r="T15" s="10"/>
      <c r="U15" s="14"/>
    </row>
    <row r="16" spans="1:22" ht="18" customHeight="1" x14ac:dyDescent="0.25">
      <c r="A16" s="100" t="s">
        <v>11</v>
      </c>
      <c r="B16" s="109">
        <v>73</v>
      </c>
      <c r="C16" s="215"/>
      <c r="D16" s="128" t="s">
        <v>92</v>
      </c>
      <c r="E16" s="128" t="s">
        <v>92</v>
      </c>
      <c r="F16" s="65"/>
      <c r="G16" s="63"/>
      <c r="K16" s="20"/>
      <c r="L16" s="20"/>
      <c r="M16" s="20"/>
      <c r="N16" s="20"/>
      <c r="O16" s="10"/>
      <c r="P16" s="10"/>
      <c r="Q16" s="10"/>
      <c r="R16" s="10"/>
      <c r="S16" s="10"/>
      <c r="T16" s="10"/>
      <c r="U16" s="10"/>
      <c r="V16" s="14"/>
    </row>
    <row r="17" spans="1:28" ht="36" customHeight="1" thickBot="1" x14ac:dyDescent="0.3">
      <c r="A17" s="252" t="s">
        <v>26</v>
      </c>
      <c r="B17" s="252"/>
      <c r="C17" s="252"/>
      <c r="D17" s="176" t="s">
        <v>92</v>
      </c>
      <c r="E17" s="176" t="s">
        <v>92</v>
      </c>
      <c r="F17" s="66"/>
      <c r="G17" s="63"/>
      <c r="K17" s="21"/>
      <c r="L17" s="21"/>
      <c r="M17" s="21"/>
      <c r="N17" s="21"/>
      <c r="O17" s="13"/>
      <c r="P17" s="13"/>
      <c r="Q17" s="13"/>
      <c r="R17" s="13"/>
      <c r="S17" s="13"/>
      <c r="T17" s="13"/>
      <c r="U17" s="13"/>
    </row>
    <row r="18" spans="1:28" ht="33.75" customHeight="1" thickTop="1" x14ac:dyDescent="0.25">
      <c r="A18" s="67" t="s">
        <v>25</v>
      </c>
      <c r="B18" s="68" t="s">
        <v>7</v>
      </c>
      <c r="C18" s="164" t="s">
        <v>6</v>
      </c>
      <c r="D18" s="128" t="s">
        <v>92</v>
      </c>
      <c r="E18" s="128" t="s">
        <v>92</v>
      </c>
      <c r="F18" s="63"/>
      <c r="G18" s="63"/>
      <c r="K18" s="21"/>
      <c r="L18" s="21"/>
      <c r="M18" s="21"/>
      <c r="N18" s="21"/>
      <c r="O18" s="13"/>
      <c r="P18" s="13"/>
      <c r="Q18" s="13"/>
      <c r="R18" s="13"/>
      <c r="S18" s="13"/>
      <c r="T18" s="13"/>
      <c r="U18" s="13"/>
    </row>
    <row r="19" spans="1:28" ht="18" customHeight="1" x14ac:dyDescent="0.25">
      <c r="A19" s="69" t="s">
        <v>5</v>
      </c>
      <c r="B19" s="105">
        <f>IF($C$11="yes",$B$7*B13*(1/2000),$B$7*C13*(1/2000))</f>
        <v>0</v>
      </c>
      <c r="C19" s="182">
        <f>IF($C$11="Yes", $C$7*B13*(1/2000), $C$7*C13*(1/2000))</f>
        <v>0</v>
      </c>
      <c r="D19" s="128" t="s">
        <v>92</v>
      </c>
      <c r="E19" s="128" t="s">
        <v>92</v>
      </c>
      <c r="F19" s="71"/>
      <c r="G19" s="71"/>
      <c r="K19" s="22"/>
      <c r="L19" s="22"/>
      <c r="M19" s="21"/>
      <c r="N19" s="21"/>
      <c r="O19" s="21"/>
      <c r="P19" s="21"/>
      <c r="Q19" s="13"/>
      <c r="R19" s="13"/>
      <c r="S19" s="13"/>
      <c r="T19" s="13"/>
      <c r="U19" s="13"/>
      <c r="V19" s="13"/>
    </row>
    <row r="20" spans="1:28" ht="18" customHeight="1" x14ac:dyDescent="0.25">
      <c r="A20" s="70" t="s">
        <v>8</v>
      </c>
      <c r="B20" s="106">
        <f>IF($C$11="yes",$B$7*B14*(1/2000),$B$7*C14*(1/2000))</f>
        <v>0</v>
      </c>
      <c r="C20" s="183">
        <f>IF($C$11="Yes", $C$7*B14*(1/2000), $C$7*C14*(1/2000))</f>
        <v>0</v>
      </c>
      <c r="D20" s="128" t="s">
        <v>92</v>
      </c>
      <c r="E20" s="128" t="s">
        <v>92</v>
      </c>
      <c r="F20" s="63"/>
      <c r="G20" s="63"/>
      <c r="K20" s="22"/>
      <c r="L20" s="22"/>
      <c r="M20" s="13"/>
      <c r="N20" s="21"/>
      <c r="O20" s="21"/>
      <c r="P20" s="21"/>
      <c r="Q20" s="13"/>
      <c r="R20" s="13"/>
      <c r="S20" s="13"/>
      <c r="T20" s="13"/>
      <c r="U20" s="13"/>
      <c r="V20" s="13"/>
    </row>
    <row r="21" spans="1:28" ht="18" customHeight="1" x14ac:dyDescent="0.25">
      <c r="A21" s="70" t="s">
        <v>10</v>
      </c>
      <c r="B21" s="106">
        <f>IF($C$11="yes",$B$7*B15*(1/2000),$B$7*C15*(1/2000))</f>
        <v>0</v>
      </c>
      <c r="C21" s="183">
        <f>IF($C$11="Yes", $C$7*B15*(1/2000), $C$7*C15*(1/2000))</f>
        <v>0</v>
      </c>
      <c r="D21" s="128" t="s">
        <v>92</v>
      </c>
      <c r="E21" s="128" t="s">
        <v>92</v>
      </c>
      <c r="F21" s="60"/>
      <c r="G21" s="60"/>
      <c r="K21" s="22"/>
      <c r="L21" s="22"/>
      <c r="M21" s="21"/>
      <c r="N21" s="21"/>
      <c r="O21" s="21"/>
      <c r="P21" s="21"/>
      <c r="Q21" s="13"/>
      <c r="R21" s="13"/>
      <c r="S21" s="13"/>
      <c r="T21" s="13"/>
      <c r="U21" s="13"/>
      <c r="V21" s="13"/>
    </row>
    <row r="22" spans="1:28" ht="15.75" customHeight="1" x14ac:dyDescent="0.25">
      <c r="A22" s="103" t="s">
        <v>11</v>
      </c>
      <c r="B22" s="108">
        <f>IF($C$11="yes",$B$7*B16*(1/2000),$B$7*C16*(1/2000))</f>
        <v>0</v>
      </c>
      <c r="C22" s="184">
        <f>IF($C$11="Yes", $C$7*B16*(1/2000), $C$7*C16*(1/2000))</f>
        <v>0</v>
      </c>
      <c r="D22" s="128" t="s">
        <v>92</v>
      </c>
      <c r="E22" s="128" t="s">
        <v>92</v>
      </c>
      <c r="F22" s="89"/>
      <c r="J22" s="1"/>
      <c r="K22" s="1"/>
      <c r="L22" s="22"/>
      <c r="M22" s="21"/>
      <c r="N22" s="21"/>
      <c r="O22" s="21"/>
      <c r="P22" s="21"/>
      <c r="Q22" s="13"/>
      <c r="R22" s="13"/>
      <c r="S22" s="13"/>
      <c r="T22" s="13"/>
      <c r="U22" s="13"/>
      <c r="V22" s="13"/>
    </row>
    <row r="23" spans="1:28" x14ac:dyDescent="0.25">
      <c r="A23" s="246" t="s">
        <v>115</v>
      </c>
      <c r="B23" s="246"/>
      <c r="C23" s="246"/>
      <c r="D23" s="246"/>
      <c r="E23" s="246"/>
      <c r="F23" s="72"/>
      <c r="K23" s="1"/>
      <c r="L23" s="22"/>
      <c r="M23" s="21"/>
      <c r="N23" s="21"/>
      <c r="O23" s="21"/>
      <c r="P23" s="21"/>
      <c r="Q23" s="13"/>
      <c r="R23" s="13"/>
      <c r="S23" s="13"/>
      <c r="T23" s="13"/>
      <c r="U23" s="13"/>
      <c r="V23" s="13"/>
    </row>
    <row r="24" spans="1:28" x14ac:dyDescent="0.25">
      <c r="A24" s="246"/>
      <c r="B24" s="246"/>
      <c r="C24" s="246"/>
      <c r="D24" s="246"/>
      <c r="E24" s="246"/>
      <c r="F24" s="72"/>
      <c r="K24" s="1"/>
      <c r="L24" s="22"/>
      <c r="M24" s="21"/>
      <c r="N24" s="21"/>
      <c r="O24" s="21"/>
      <c r="P24" s="21"/>
      <c r="Q24" s="13"/>
      <c r="R24" s="13"/>
      <c r="S24" s="13"/>
      <c r="T24" s="13"/>
      <c r="U24" s="13"/>
      <c r="V24" s="13"/>
    </row>
    <row r="25" spans="1:28" hidden="1" x14ac:dyDescent="0.25">
      <c r="A25" s="64"/>
      <c r="B25" s="72"/>
      <c r="C25" s="72"/>
      <c r="D25" s="72"/>
      <c r="E25" s="72"/>
      <c r="F25" s="64"/>
      <c r="K25" s="23"/>
      <c r="L25" s="23"/>
      <c r="M25" s="23"/>
      <c r="N25" s="23"/>
      <c r="O25" s="24"/>
      <c r="P25" s="24"/>
      <c r="Q25" s="24"/>
      <c r="R25" s="24"/>
      <c r="S25" s="24"/>
      <c r="T25" s="24"/>
      <c r="U25" s="24"/>
      <c r="V25" s="24"/>
      <c r="W25" s="24"/>
      <c r="X25" s="24"/>
      <c r="Y25" s="24"/>
      <c r="Z25" s="24"/>
      <c r="AA25" s="24"/>
    </row>
    <row r="26" spans="1:28" hidden="1" x14ac:dyDescent="0.25">
      <c r="A26" s="64"/>
      <c r="B26" s="64"/>
      <c r="C26" s="64"/>
      <c r="D26" s="64"/>
      <c r="E26" s="64"/>
      <c r="F26" s="64"/>
      <c r="K26" s="23"/>
      <c r="L26" s="23"/>
      <c r="M26" s="23"/>
      <c r="N26" s="23"/>
      <c r="O26" s="24"/>
      <c r="P26" s="24"/>
      <c r="Q26" s="24"/>
      <c r="R26" s="24"/>
      <c r="S26" s="24"/>
      <c r="T26" s="24"/>
      <c r="U26" s="24"/>
      <c r="V26" s="24"/>
      <c r="W26" s="24"/>
      <c r="X26" s="24"/>
      <c r="Y26" s="24"/>
      <c r="Z26" s="24"/>
      <c r="AA26" s="24"/>
    </row>
    <row r="27" spans="1:28" hidden="1" x14ac:dyDescent="0.25">
      <c r="A27" s="64"/>
      <c r="B27" s="64"/>
      <c r="C27" s="64"/>
      <c r="D27" s="64"/>
      <c r="E27" s="64"/>
      <c r="F27" s="64"/>
      <c r="G27" s="64"/>
      <c r="K27" s="23"/>
      <c r="L27" s="23"/>
      <c r="M27" s="23"/>
      <c r="N27" s="23"/>
      <c r="O27" s="24"/>
      <c r="P27" s="24"/>
      <c r="Q27" s="24"/>
      <c r="R27" s="24"/>
      <c r="S27" s="24"/>
      <c r="T27" s="24"/>
      <c r="U27" s="24"/>
      <c r="V27" s="24"/>
      <c r="W27" s="24"/>
      <c r="X27" s="24"/>
      <c r="Y27" s="24"/>
      <c r="Z27" s="24"/>
      <c r="AA27" s="24"/>
    </row>
    <row r="28" spans="1:28" hidden="1" x14ac:dyDescent="0.25">
      <c r="A28" s="64"/>
      <c r="B28" s="64"/>
      <c r="C28" s="64"/>
      <c r="D28" s="64"/>
      <c r="E28" s="64"/>
      <c r="F28" s="64"/>
      <c r="G28" s="64"/>
      <c r="H28" s="64"/>
      <c r="I28" s="64"/>
      <c r="J28" s="22"/>
      <c r="K28" s="23"/>
      <c r="L28" s="23"/>
      <c r="M28" s="23"/>
      <c r="N28" s="23"/>
      <c r="O28" s="24"/>
      <c r="P28" s="24"/>
      <c r="Q28" s="24"/>
      <c r="R28" s="24"/>
      <c r="S28" s="24"/>
      <c r="T28" s="24"/>
      <c r="U28" s="24"/>
      <c r="V28" s="24"/>
      <c r="W28" s="24"/>
      <c r="X28" s="24"/>
      <c r="Y28" s="24"/>
      <c r="Z28" s="24"/>
      <c r="AA28" s="24"/>
    </row>
    <row r="29" spans="1:28" hidden="1" x14ac:dyDescent="0.25">
      <c r="A29" s="90"/>
      <c r="B29" s="64"/>
      <c r="C29" s="64"/>
      <c r="D29" s="64"/>
      <c r="E29" s="90"/>
      <c r="F29" s="64"/>
      <c r="G29" s="64"/>
      <c r="H29" s="64"/>
      <c r="I29" s="64"/>
      <c r="J29" s="22"/>
      <c r="K29" s="22"/>
      <c r="L29" s="23"/>
      <c r="M29" s="23"/>
      <c r="N29" s="23"/>
      <c r="O29" s="23"/>
      <c r="P29" s="24"/>
      <c r="Q29" s="24"/>
      <c r="R29" s="24"/>
      <c r="S29" s="24"/>
      <c r="T29" s="24"/>
      <c r="U29" s="24"/>
      <c r="V29" s="24"/>
      <c r="W29" s="24"/>
      <c r="X29" s="24"/>
      <c r="Y29" s="24"/>
      <c r="Z29" s="24"/>
      <c r="AA29" s="24"/>
      <c r="AB29" s="24"/>
    </row>
    <row r="30" spans="1:28" hidden="1" x14ac:dyDescent="0.25">
      <c r="A30" s="90"/>
      <c r="B30" s="64"/>
      <c r="C30" s="64"/>
      <c r="D30" s="64"/>
      <c r="E30" s="90"/>
      <c r="F30" s="64"/>
      <c r="G30" s="64"/>
      <c r="H30" s="64"/>
      <c r="I30" s="64"/>
      <c r="J30" s="22"/>
      <c r="K30" s="22"/>
      <c r="L30" s="23"/>
      <c r="M30" s="23"/>
      <c r="N30" s="23"/>
      <c r="O30" s="23"/>
      <c r="P30" s="24"/>
      <c r="Q30" s="24"/>
      <c r="R30" s="24"/>
      <c r="S30" s="24"/>
      <c r="T30" s="24"/>
      <c r="U30" s="24"/>
      <c r="V30" s="24"/>
      <c r="W30" s="24"/>
      <c r="X30" s="24"/>
      <c r="Y30" s="24"/>
      <c r="Z30" s="24"/>
      <c r="AA30" s="24"/>
      <c r="AB30" s="24"/>
    </row>
    <row r="31" spans="1:28" hidden="1" x14ac:dyDescent="0.25">
      <c r="A31" s="91"/>
      <c r="B31" s="91"/>
      <c r="C31" s="91"/>
      <c r="D31" s="91"/>
      <c r="E31" s="91"/>
      <c r="F31" s="73"/>
      <c r="G31" s="73"/>
      <c r="H31" s="73"/>
      <c r="I31" s="73"/>
      <c r="J31" s="23"/>
      <c r="K31" s="23"/>
      <c r="L31" s="23"/>
      <c r="M31" s="23"/>
      <c r="N31" s="23"/>
      <c r="O31" s="23"/>
      <c r="P31" s="24"/>
      <c r="Q31" s="24"/>
      <c r="R31" s="24"/>
      <c r="S31" s="24"/>
      <c r="T31" s="24"/>
      <c r="U31" s="24"/>
      <c r="V31" s="24"/>
      <c r="W31" s="24"/>
      <c r="X31" s="24"/>
      <c r="Y31" s="24"/>
      <c r="Z31" s="24"/>
      <c r="AA31" s="24"/>
      <c r="AB31" s="24"/>
    </row>
    <row r="32" spans="1:28" ht="15.75" hidden="1" customHeight="1" x14ac:dyDescent="0.25">
      <c r="A32" s="73"/>
      <c r="B32" s="76"/>
      <c r="C32" s="76"/>
      <c r="D32" s="76"/>
      <c r="E32" s="24"/>
      <c r="F32" s="24"/>
      <c r="G32" s="24"/>
      <c r="H32" s="24"/>
      <c r="I32" s="24"/>
      <c r="J32" s="24"/>
      <c r="K32" s="24"/>
      <c r="L32" s="24"/>
      <c r="M32" s="24"/>
      <c r="N32" s="24"/>
      <c r="O32" s="24"/>
      <c r="P32" s="24"/>
      <c r="Q32" s="24"/>
      <c r="R32" s="24"/>
      <c r="S32" s="24"/>
      <c r="T32" s="24"/>
      <c r="U32" s="24"/>
      <c r="V32" s="24"/>
      <c r="W32" s="24"/>
    </row>
    <row r="33" spans="1:28" ht="15" hidden="1" customHeight="1" x14ac:dyDescent="0.25">
      <c r="A33" s="73"/>
      <c r="B33" s="73"/>
      <c r="C33" s="73"/>
      <c r="D33" s="73"/>
      <c r="E33" s="24"/>
      <c r="F33" s="24"/>
      <c r="G33" s="24"/>
      <c r="H33" s="24"/>
      <c r="I33" s="24"/>
      <c r="J33" s="24"/>
      <c r="K33" s="24"/>
      <c r="L33" s="24"/>
      <c r="M33" s="24"/>
      <c r="N33" s="24"/>
      <c r="O33" s="24"/>
      <c r="P33" s="24"/>
      <c r="Q33" s="24"/>
      <c r="R33" s="24"/>
      <c r="S33" s="24"/>
      <c r="T33" s="24"/>
      <c r="U33" s="24"/>
      <c r="V33" s="24"/>
      <c r="W33" s="24"/>
    </row>
    <row r="34" spans="1:28" hidden="1" x14ac:dyDescent="0.25">
      <c r="A34" s="73"/>
      <c r="B34" s="73"/>
      <c r="C34" s="73"/>
      <c r="D34" s="73"/>
      <c r="E34" s="24"/>
      <c r="F34" s="24"/>
      <c r="G34" s="24"/>
      <c r="H34" s="24"/>
      <c r="I34" s="24"/>
      <c r="J34" s="24"/>
      <c r="K34" s="24"/>
      <c r="L34" s="24"/>
      <c r="M34" s="24"/>
      <c r="N34" s="24"/>
      <c r="O34" s="24"/>
      <c r="P34" s="24"/>
      <c r="Q34" s="24"/>
      <c r="R34" s="24"/>
      <c r="S34" s="24"/>
      <c r="T34" s="24"/>
      <c r="U34" s="24"/>
      <c r="V34" s="24"/>
      <c r="W34" s="24"/>
    </row>
    <row r="35" spans="1:28" hidden="1" x14ac:dyDescent="0.25">
      <c r="A35" s="73"/>
      <c r="B35" s="73"/>
      <c r="C35" s="73"/>
      <c r="D35" s="73"/>
      <c r="E35" s="24"/>
      <c r="F35" s="24"/>
      <c r="G35" s="24"/>
      <c r="H35" s="24"/>
      <c r="I35" s="24"/>
      <c r="J35" s="24"/>
      <c r="K35" s="24"/>
      <c r="L35" s="24"/>
      <c r="M35" s="24"/>
      <c r="N35" s="24"/>
      <c r="O35" s="24"/>
      <c r="P35" s="24"/>
      <c r="Q35" s="24"/>
      <c r="R35" s="24"/>
      <c r="S35" s="24"/>
      <c r="T35" s="24"/>
      <c r="U35" s="24"/>
      <c r="V35" s="24"/>
      <c r="W35" s="24"/>
    </row>
    <row r="36" spans="1:28" hidden="1" x14ac:dyDescent="0.25">
      <c r="A36" s="73"/>
      <c r="B36" s="73"/>
      <c r="C36" s="73"/>
      <c r="D36" s="73"/>
      <c r="E36" s="24"/>
      <c r="F36" s="24"/>
      <c r="G36" s="24"/>
      <c r="H36" s="24"/>
      <c r="I36" s="24"/>
      <c r="J36" s="24"/>
      <c r="K36" s="24"/>
      <c r="L36" s="24"/>
      <c r="M36" s="24"/>
      <c r="N36" s="24"/>
      <c r="O36" s="24"/>
      <c r="P36" s="24"/>
      <c r="Q36" s="24"/>
      <c r="R36" s="24"/>
      <c r="S36" s="24"/>
      <c r="T36" s="24"/>
      <c r="U36" s="24"/>
      <c r="V36" s="24"/>
      <c r="W36" s="24"/>
    </row>
    <row r="37" spans="1:28" hidden="1" x14ac:dyDescent="0.25">
      <c r="A37" s="73"/>
      <c r="B37" s="73"/>
      <c r="C37" s="73"/>
      <c r="D37" s="73"/>
      <c r="E37" s="24"/>
      <c r="F37" s="24"/>
      <c r="G37" s="24"/>
      <c r="H37" s="24"/>
      <c r="I37" s="24"/>
      <c r="J37" s="24"/>
      <c r="K37" s="24"/>
      <c r="L37" s="24"/>
      <c r="M37" s="24"/>
      <c r="N37" s="24"/>
      <c r="O37" s="24"/>
      <c r="P37" s="24"/>
      <c r="Q37" s="24"/>
      <c r="R37" s="24"/>
      <c r="S37" s="24"/>
      <c r="T37" s="24"/>
      <c r="U37" s="24"/>
      <c r="V37" s="24"/>
      <c r="W37" s="24"/>
    </row>
    <row r="38" spans="1:28" hidden="1" x14ac:dyDescent="0.25">
      <c r="A38" s="73"/>
      <c r="B38" s="73"/>
      <c r="C38" s="73"/>
      <c r="D38" s="73"/>
      <c r="E38" s="24"/>
      <c r="F38" s="24"/>
      <c r="G38" s="24"/>
      <c r="H38" s="24"/>
      <c r="I38" s="24"/>
      <c r="J38" s="24"/>
      <c r="K38" s="24"/>
      <c r="L38" s="24"/>
      <c r="M38" s="24"/>
      <c r="N38" s="24"/>
      <c r="O38" s="24"/>
      <c r="P38" s="24"/>
      <c r="Q38" s="24"/>
      <c r="R38" s="24"/>
      <c r="S38" s="24"/>
      <c r="T38" s="24"/>
      <c r="U38" s="24"/>
      <c r="V38" s="24"/>
      <c r="W38" s="24"/>
    </row>
    <row r="39" spans="1:28" hidden="1" x14ac:dyDescent="0.25">
      <c r="A39" s="73"/>
      <c r="B39" s="73"/>
      <c r="C39" s="73"/>
      <c r="D39" s="73"/>
      <c r="E39" s="24"/>
      <c r="F39" s="24"/>
      <c r="G39" s="24"/>
      <c r="H39" s="24"/>
      <c r="I39" s="24"/>
      <c r="J39" s="24"/>
      <c r="K39" s="24"/>
      <c r="L39" s="24"/>
      <c r="M39" s="24"/>
      <c r="N39" s="24"/>
      <c r="O39" s="24"/>
      <c r="P39" s="24"/>
      <c r="Q39" s="24"/>
      <c r="R39" s="24"/>
      <c r="S39" s="24"/>
      <c r="T39" s="24"/>
      <c r="U39" s="24"/>
      <c r="V39" s="24"/>
      <c r="W39" s="24"/>
    </row>
    <row r="40" spans="1:28" ht="15" hidden="1" customHeight="1" x14ac:dyDescent="0.25">
      <c r="A40" s="73"/>
      <c r="B40" s="73"/>
      <c r="C40" s="73"/>
      <c r="D40" s="73"/>
      <c r="E40" s="24"/>
      <c r="F40" s="24"/>
      <c r="G40" s="24"/>
      <c r="H40" s="24"/>
      <c r="I40" s="24"/>
      <c r="J40" s="24"/>
      <c r="K40" s="24"/>
      <c r="L40" s="24"/>
      <c r="M40" s="24"/>
      <c r="N40" s="24"/>
      <c r="O40" s="24"/>
      <c r="P40" s="24"/>
      <c r="Q40" s="24"/>
      <c r="R40" s="24"/>
      <c r="S40" s="24"/>
      <c r="T40" s="24"/>
      <c r="U40" s="24"/>
      <c r="V40" s="24"/>
      <c r="W40" s="24"/>
    </row>
    <row r="41" spans="1:28" ht="15" hidden="1" customHeight="1" x14ac:dyDescent="0.25">
      <c r="A41" s="73"/>
      <c r="B41" s="73"/>
      <c r="C41" s="73"/>
      <c r="D41" s="73"/>
      <c r="E41" s="73"/>
      <c r="F41" s="73"/>
      <c r="G41" s="73"/>
      <c r="H41" s="73"/>
      <c r="I41" s="73"/>
      <c r="J41" s="24"/>
      <c r="K41" s="24"/>
      <c r="L41" s="24"/>
      <c r="M41" s="24"/>
      <c r="N41" s="24"/>
      <c r="O41" s="24"/>
      <c r="P41" s="24"/>
      <c r="Q41" s="24"/>
      <c r="R41" s="24"/>
      <c r="S41" s="24"/>
      <c r="T41" s="24"/>
      <c r="U41" s="24"/>
      <c r="V41" s="24"/>
      <c r="W41" s="24"/>
      <c r="X41" s="24"/>
      <c r="Y41" s="24"/>
      <c r="Z41" s="24"/>
      <c r="AA41" s="24"/>
      <c r="AB41" s="24"/>
    </row>
    <row r="42" spans="1:28" hidden="1" x14ac:dyDescent="0.25">
      <c r="A42" s="73"/>
      <c r="B42" s="73"/>
      <c r="C42" s="73"/>
      <c r="D42" s="73"/>
      <c r="E42" s="73"/>
      <c r="F42" s="73"/>
      <c r="G42" s="73"/>
      <c r="H42" s="73"/>
      <c r="I42" s="73"/>
      <c r="J42" s="24"/>
      <c r="K42" s="24"/>
      <c r="L42" s="24"/>
      <c r="M42" s="24"/>
      <c r="N42" s="24"/>
      <c r="O42" s="24"/>
      <c r="P42" s="24"/>
      <c r="Q42" s="24"/>
      <c r="R42" s="24"/>
      <c r="S42" s="24"/>
      <c r="T42" s="24"/>
      <c r="U42" s="24"/>
      <c r="V42" s="24"/>
      <c r="W42" s="24"/>
      <c r="X42" s="24"/>
      <c r="Y42" s="24"/>
      <c r="Z42" s="24"/>
      <c r="AA42" s="24"/>
      <c r="AB42" s="24"/>
    </row>
    <row r="43" spans="1:28" ht="15" hidden="1" customHeight="1" x14ac:dyDescent="0.25">
      <c r="A43" s="73"/>
      <c r="B43" s="73"/>
      <c r="C43" s="73"/>
      <c r="D43" s="73"/>
      <c r="E43" s="73"/>
      <c r="F43" s="73"/>
      <c r="G43" s="73"/>
      <c r="H43" s="73"/>
      <c r="I43" s="73"/>
      <c r="J43" s="24"/>
      <c r="K43" s="24"/>
      <c r="L43" s="24"/>
      <c r="M43" s="24"/>
      <c r="N43" s="24"/>
      <c r="O43" s="24"/>
      <c r="P43" s="24"/>
      <c r="Q43" s="24"/>
      <c r="R43" s="24"/>
      <c r="S43" s="24"/>
      <c r="T43" s="24"/>
      <c r="U43" s="24"/>
      <c r="V43" s="24"/>
      <c r="W43" s="24"/>
      <c r="X43" s="24"/>
      <c r="Y43" s="24"/>
      <c r="Z43" s="24"/>
      <c r="AA43" s="24"/>
      <c r="AB43" s="24"/>
    </row>
    <row r="44" spans="1:28" ht="15" hidden="1" customHeight="1" x14ac:dyDescent="0.25">
      <c r="A44" s="73"/>
      <c r="B44" s="73"/>
      <c r="C44" s="73"/>
      <c r="D44" s="73"/>
      <c r="E44" s="73"/>
      <c r="F44" s="73"/>
      <c r="G44" s="73"/>
      <c r="H44" s="73"/>
      <c r="I44" s="73"/>
      <c r="J44" s="24"/>
      <c r="K44" s="24"/>
      <c r="L44" s="24"/>
      <c r="M44" s="24"/>
      <c r="N44" s="24"/>
      <c r="O44" s="24"/>
      <c r="P44" s="24"/>
      <c r="Q44" s="24"/>
      <c r="R44" s="24"/>
      <c r="S44" s="24"/>
      <c r="T44" s="24"/>
      <c r="U44" s="24"/>
      <c r="V44" s="24"/>
      <c r="W44" s="24"/>
      <c r="X44" s="24"/>
      <c r="Y44" s="24"/>
      <c r="Z44" s="24"/>
      <c r="AA44" s="24"/>
      <c r="AB44" s="24"/>
    </row>
    <row r="45" spans="1:28" hidden="1" x14ac:dyDescent="0.25">
      <c r="A45" s="73"/>
      <c r="B45" s="73"/>
      <c r="C45" s="73"/>
      <c r="D45" s="73"/>
      <c r="E45" s="73"/>
      <c r="F45" s="75"/>
      <c r="G45" s="73"/>
      <c r="H45" s="73"/>
      <c r="I45" s="73"/>
      <c r="J45" s="24"/>
      <c r="K45" s="24"/>
      <c r="L45" s="24"/>
      <c r="M45" s="24"/>
      <c r="N45" s="24"/>
      <c r="O45" s="24"/>
      <c r="P45" s="24"/>
      <c r="Q45" s="24"/>
      <c r="R45" s="24"/>
      <c r="S45" s="24"/>
      <c r="T45" s="24"/>
      <c r="U45" s="24"/>
      <c r="V45" s="24"/>
      <c r="W45" s="24"/>
      <c r="X45" s="24"/>
      <c r="Y45" s="24"/>
      <c r="Z45" s="24"/>
      <c r="AA45" s="24"/>
      <c r="AB45" s="24"/>
    </row>
    <row r="46" spans="1:28" ht="15.75" hidden="1" x14ac:dyDescent="0.25">
      <c r="A46" s="74"/>
      <c r="B46" s="75"/>
      <c r="C46" s="75"/>
      <c r="D46" s="75"/>
      <c r="E46" s="75"/>
      <c r="F46" s="75"/>
      <c r="G46" s="73"/>
      <c r="H46" s="73"/>
      <c r="I46" s="73"/>
      <c r="J46" s="24"/>
      <c r="K46" s="24"/>
      <c r="L46" s="24"/>
      <c r="M46" s="24"/>
      <c r="N46" s="24"/>
      <c r="O46" s="24"/>
      <c r="P46" s="24"/>
      <c r="Q46" s="24"/>
      <c r="R46" s="24"/>
      <c r="S46" s="24"/>
      <c r="T46" s="24"/>
      <c r="U46" s="24"/>
      <c r="V46" s="24"/>
      <c r="W46" s="24"/>
      <c r="X46" s="24"/>
      <c r="Y46" s="24"/>
      <c r="Z46" s="24"/>
      <c r="AA46" s="24"/>
      <c r="AB46" s="24"/>
    </row>
    <row r="47" spans="1:28" ht="15.75" hidden="1" x14ac:dyDescent="0.25">
      <c r="A47" s="74"/>
      <c r="B47" s="75"/>
      <c r="C47" s="75"/>
      <c r="D47" s="75"/>
      <c r="E47" s="75"/>
      <c r="F47" s="75"/>
      <c r="G47" s="73"/>
      <c r="H47" s="73"/>
      <c r="I47" s="73"/>
      <c r="J47" s="24"/>
      <c r="K47" s="24"/>
      <c r="L47" s="24"/>
      <c r="M47" s="24"/>
      <c r="N47" s="24"/>
      <c r="O47" s="24"/>
      <c r="P47" s="24"/>
      <c r="Q47" s="24"/>
      <c r="R47" s="24"/>
      <c r="S47" s="24"/>
      <c r="T47" s="24"/>
      <c r="U47" s="24"/>
      <c r="V47" s="24"/>
      <c r="W47" s="24"/>
      <c r="X47" s="24"/>
      <c r="Y47" s="24"/>
      <c r="Z47" s="24"/>
      <c r="AA47" s="24"/>
      <c r="AB47" s="24"/>
    </row>
    <row r="48" spans="1:28" hidden="1" x14ac:dyDescent="0.25">
      <c r="A48" s="73"/>
      <c r="B48" s="73"/>
      <c r="C48" s="73"/>
      <c r="D48" s="73"/>
      <c r="E48" s="73"/>
      <c r="F48" s="75"/>
      <c r="G48" s="73"/>
      <c r="H48" s="73"/>
      <c r="I48" s="73"/>
      <c r="J48" s="24"/>
      <c r="K48" s="24"/>
      <c r="L48" s="24"/>
      <c r="M48" s="24"/>
      <c r="N48" s="24"/>
      <c r="O48" s="24"/>
      <c r="P48" s="24"/>
      <c r="Q48" s="24"/>
      <c r="R48" s="24"/>
      <c r="S48" s="24"/>
      <c r="T48" s="24"/>
      <c r="U48" s="24"/>
      <c r="V48" s="24"/>
      <c r="W48" s="24"/>
      <c r="X48" s="24"/>
      <c r="Y48" s="24"/>
      <c r="Z48" s="24"/>
      <c r="AA48" s="24"/>
      <c r="AB48" s="24"/>
    </row>
    <row r="49" spans="1:28" hidden="1" x14ac:dyDescent="0.25">
      <c r="A49" s="73"/>
      <c r="B49" s="73"/>
      <c r="C49" s="73"/>
      <c r="D49" s="73"/>
      <c r="E49" s="73"/>
      <c r="F49" s="73"/>
      <c r="G49" s="73"/>
      <c r="H49" s="73"/>
      <c r="I49" s="73"/>
      <c r="J49" s="24"/>
      <c r="K49" s="24"/>
      <c r="L49" s="24"/>
      <c r="M49" s="24"/>
      <c r="N49" s="24"/>
      <c r="O49" s="24"/>
      <c r="P49" s="24"/>
      <c r="Q49" s="24"/>
      <c r="R49" s="24"/>
      <c r="S49" s="24"/>
      <c r="T49" s="24"/>
      <c r="U49" s="24"/>
      <c r="V49" s="24"/>
      <c r="W49" s="24"/>
      <c r="X49" s="24"/>
      <c r="Y49" s="24"/>
      <c r="Z49" s="24"/>
      <c r="AA49" s="24"/>
      <c r="AB49" s="24"/>
    </row>
    <row r="50" spans="1:28" hidden="1" x14ac:dyDescent="0.25">
      <c r="A50" s="73"/>
      <c r="B50" s="73"/>
      <c r="C50" s="73"/>
      <c r="D50" s="73"/>
      <c r="E50" s="73"/>
      <c r="F50" s="73"/>
      <c r="G50" s="78"/>
      <c r="H50" s="73"/>
      <c r="I50" s="73"/>
      <c r="J50" s="24"/>
      <c r="K50" s="24"/>
      <c r="L50" s="24"/>
      <c r="M50" s="24"/>
      <c r="N50" s="24"/>
      <c r="O50" s="24"/>
      <c r="P50" s="24"/>
      <c r="Q50" s="24"/>
      <c r="R50" s="24"/>
      <c r="S50" s="24"/>
      <c r="T50" s="24"/>
      <c r="U50" s="24"/>
      <c r="V50" s="24"/>
      <c r="W50" s="24"/>
      <c r="X50" s="24"/>
      <c r="Y50" s="24"/>
      <c r="Z50" s="24"/>
      <c r="AA50" s="24"/>
      <c r="AB50" s="24"/>
    </row>
    <row r="51" spans="1:28" hidden="1" x14ac:dyDescent="0.25">
      <c r="A51" s="73"/>
      <c r="B51" s="73"/>
      <c r="C51" s="73"/>
      <c r="D51" s="73"/>
      <c r="E51" s="73"/>
      <c r="F51" s="73"/>
      <c r="G51" s="73"/>
      <c r="H51" s="73"/>
      <c r="I51" s="73"/>
      <c r="J51" s="24"/>
      <c r="K51" s="24"/>
      <c r="L51" s="24"/>
      <c r="M51" s="24"/>
      <c r="N51" s="24"/>
      <c r="O51" s="24"/>
      <c r="P51" s="24"/>
      <c r="Q51" s="24"/>
      <c r="R51" s="24"/>
      <c r="S51" s="24"/>
      <c r="T51" s="24"/>
      <c r="U51" s="24"/>
      <c r="V51" s="24"/>
      <c r="W51" s="24"/>
      <c r="X51" s="24"/>
      <c r="Y51" s="24"/>
      <c r="Z51" s="24"/>
      <c r="AA51" s="24"/>
      <c r="AB51" s="24"/>
    </row>
    <row r="52" spans="1:28" hidden="1" x14ac:dyDescent="0.25">
      <c r="A52" s="73"/>
      <c r="B52" s="73"/>
      <c r="C52" s="73"/>
      <c r="D52" s="73"/>
      <c r="E52" s="73"/>
      <c r="F52" s="73"/>
      <c r="G52" s="73"/>
      <c r="H52" s="73"/>
      <c r="I52" s="73"/>
      <c r="J52" s="24"/>
      <c r="K52" s="24"/>
      <c r="L52" s="24"/>
      <c r="M52" s="24"/>
      <c r="N52" s="24"/>
      <c r="O52" s="24"/>
      <c r="P52" s="24"/>
      <c r="Q52" s="24"/>
      <c r="R52" s="24"/>
      <c r="S52" s="24"/>
      <c r="T52" s="24"/>
      <c r="U52" s="24"/>
      <c r="V52" s="24"/>
      <c r="W52" s="24"/>
      <c r="X52" s="24"/>
      <c r="Y52" s="24"/>
      <c r="Z52" s="24"/>
      <c r="AA52" s="24"/>
      <c r="AB52" s="24"/>
    </row>
    <row r="53" spans="1:28" hidden="1" x14ac:dyDescent="0.25">
      <c r="A53" s="73"/>
      <c r="B53" s="73"/>
      <c r="C53" s="73"/>
      <c r="D53" s="73"/>
      <c r="E53" s="73"/>
      <c r="F53" s="73"/>
      <c r="G53" s="78"/>
      <c r="H53" s="73"/>
      <c r="I53" s="73"/>
      <c r="J53" s="24"/>
      <c r="K53" s="24"/>
      <c r="L53" s="24"/>
      <c r="M53" s="24"/>
      <c r="N53" s="24"/>
      <c r="O53" s="24"/>
      <c r="P53" s="24"/>
      <c r="Q53" s="24"/>
      <c r="R53" s="24"/>
      <c r="S53" s="24"/>
      <c r="T53" s="24"/>
      <c r="U53" s="24"/>
      <c r="V53" s="24"/>
      <c r="W53" s="24"/>
      <c r="X53" s="24"/>
      <c r="Y53" s="24"/>
      <c r="Z53" s="24"/>
      <c r="AA53" s="24"/>
      <c r="AB53" s="24"/>
    </row>
    <row r="54" spans="1:28" hidden="1" x14ac:dyDescent="0.25">
      <c r="A54" s="73"/>
      <c r="B54" s="73"/>
      <c r="C54" s="73"/>
      <c r="D54" s="73"/>
      <c r="E54" s="73"/>
      <c r="F54" s="73"/>
      <c r="G54" s="78"/>
      <c r="H54" s="73"/>
      <c r="I54" s="73"/>
      <c r="J54" s="24"/>
      <c r="K54" s="24"/>
      <c r="L54" s="24"/>
      <c r="M54" s="24"/>
      <c r="N54" s="24"/>
      <c r="O54" s="24"/>
      <c r="P54" s="24"/>
      <c r="Q54" s="24"/>
      <c r="R54" s="24"/>
      <c r="S54" s="24"/>
      <c r="T54" s="24"/>
      <c r="U54" s="24"/>
      <c r="V54" s="24"/>
      <c r="W54" s="24"/>
      <c r="X54" s="24"/>
      <c r="Y54" s="24"/>
      <c r="Z54" s="24"/>
      <c r="AA54" s="24"/>
      <c r="AB54" s="24"/>
    </row>
    <row r="55" spans="1:28" hidden="1" x14ac:dyDescent="0.25">
      <c r="A55" s="73"/>
      <c r="B55" s="73"/>
      <c r="C55" s="73"/>
      <c r="D55" s="73"/>
      <c r="E55" s="73"/>
      <c r="F55" s="73"/>
      <c r="G55" s="78"/>
      <c r="H55" s="73"/>
      <c r="I55" s="73"/>
      <c r="J55" s="24"/>
      <c r="K55" s="24"/>
      <c r="L55" s="24"/>
      <c r="M55" s="24"/>
      <c r="N55" s="24"/>
      <c r="O55" s="24"/>
      <c r="P55" s="24"/>
      <c r="Q55" s="24"/>
      <c r="R55" s="24"/>
      <c r="S55" s="24"/>
      <c r="T55" s="24"/>
      <c r="U55" s="24"/>
      <c r="V55" s="24"/>
      <c r="W55" s="24"/>
      <c r="X55" s="24"/>
      <c r="Y55" s="24"/>
      <c r="Z55" s="24"/>
      <c r="AA55" s="24"/>
      <c r="AB55" s="24"/>
    </row>
    <row r="56" spans="1:28" hidden="1" x14ac:dyDescent="0.25">
      <c r="A56" s="73"/>
      <c r="B56" s="73"/>
      <c r="C56" s="73"/>
      <c r="D56" s="73"/>
      <c r="E56" s="73"/>
      <c r="F56" s="73"/>
      <c r="G56" s="78"/>
      <c r="H56" s="73"/>
      <c r="I56" s="73"/>
      <c r="J56" s="24"/>
      <c r="K56" s="24"/>
      <c r="L56" s="24"/>
      <c r="M56" s="24"/>
      <c r="N56" s="24"/>
      <c r="O56" s="24"/>
      <c r="P56" s="24"/>
      <c r="Q56" s="24"/>
      <c r="R56" s="24"/>
      <c r="S56" s="24"/>
      <c r="T56" s="24"/>
      <c r="U56" s="24"/>
      <c r="V56" s="24"/>
      <c r="W56" s="24"/>
      <c r="X56" s="24"/>
      <c r="Y56" s="24"/>
      <c r="Z56" s="24"/>
      <c r="AA56" s="24"/>
      <c r="AB56" s="24"/>
    </row>
    <row r="57" spans="1:28" hidden="1" x14ac:dyDescent="0.25">
      <c r="A57" s="73"/>
      <c r="B57" s="73"/>
      <c r="C57" s="73"/>
      <c r="D57" s="73"/>
      <c r="E57" s="73"/>
      <c r="F57" s="73"/>
      <c r="G57" s="73"/>
      <c r="H57" s="73"/>
      <c r="I57" s="73"/>
      <c r="J57" s="24"/>
      <c r="K57" s="24"/>
      <c r="L57" s="24"/>
      <c r="M57" s="24"/>
      <c r="N57" s="24"/>
      <c r="O57" s="24"/>
      <c r="P57" s="24"/>
      <c r="Q57" s="24"/>
      <c r="R57" s="24"/>
      <c r="S57" s="24"/>
      <c r="T57" s="24"/>
      <c r="U57" s="24"/>
      <c r="V57" s="24"/>
      <c r="W57" s="24"/>
      <c r="X57" s="24"/>
      <c r="Y57" s="24"/>
      <c r="Z57" s="24"/>
      <c r="AA57" s="24"/>
      <c r="AB57" s="24"/>
    </row>
    <row r="58" spans="1:28" hidden="1" x14ac:dyDescent="0.25">
      <c r="A58" s="73"/>
      <c r="B58" s="73"/>
      <c r="C58" s="73"/>
      <c r="D58" s="73"/>
      <c r="E58" s="73"/>
      <c r="F58" s="73"/>
      <c r="G58" s="73"/>
      <c r="H58" s="73"/>
      <c r="I58" s="73"/>
      <c r="J58" s="24"/>
      <c r="K58" s="24"/>
      <c r="L58" s="24"/>
      <c r="M58" s="24"/>
      <c r="N58" s="24"/>
      <c r="O58" s="24"/>
      <c r="P58" s="24"/>
      <c r="Q58" s="24"/>
      <c r="R58" s="24"/>
      <c r="S58" s="24"/>
      <c r="T58" s="24"/>
      <c r="U58" s="24"/>
      <c r="V58" s="24"/>
      <c r="W58" s="24"/>
      <c r="X58" s="24"/>
      <c r="Y58" s="24"/>
      <c r="Z58" s="24"/>
      <c r="AA58" s="24"/>
      <c r="AB58" s="24"/>
    </row>
    <row r="59" spans="1:28" ht="20.25" hidden="1" x14ac:dyDescent="0.25">
      <c r="A59" s="73"/>
      <c r="B59" s="73"/>
      <c r="C59" s="73"/>
      <c r="D59" s="73"/>
      <c r="E59" s="73"/>
      <c r="F59" s="73"/>
      <c r="G59" s="79"/>
      <c r="H59" s="79"/>
      <c r="I59" s="79"/>
      <c r="J59" s="24"/>
      <c r="K59" s="24"/>
      <c r="L59" s="24"/>
      <c r="M59" s="24"/>
      <c r="N59" s="24"/>
      <c r="O59" s="24"/>
      <c r="P59" s="24"/>
      <c r="Q59" s="24"/>
      <c r="R59" s="24"/>
      <c r="S59" s="24"/>
      <c r="T59" s="24"/>
      <c r="U59" s="24"/>
      <c r="V59" s="24"/>
      <c r="W59" s="24"/>
      <c r="X59" s="24"/>
      <c r="Y59" s="24"/>
      <c r="Z59" s="24"/>
      <c r="AA59" s="24"/>
      <c r="AB59" s="24"/>
    </row>
    <row r="60" spans="1:28" ht="20.25" hidden="1" x14ac:dyDescent="0.25">
      <c r="A60" s="73"/>
      <c r="B60" s="73"/>
      <c r="C60" s="73"/>
      <c r="D60" s="73"/>
      <c r="E60" s="73"/>
      <c r="F60" s="73"/>
      <c r="G60" s="79"/>
      <c r="H60" s="79"/>
      <c r="I60" s="79"/>
      <c r="J60" s="24"/>
      <c r="K60" s="24"/>
      <c r="L60" s="24"/>
      <c r="M60" s="24"/>
      <c r="N60" s="24"/>
      <c r="O60" s="24"/>
      <c r="P60" s="24"/>
      <c r="Q60" s="24"/>
      <c r="R60" s="24"/>
      <c r="S60" s="24"/>
      <c r="T60" s="24"/>
      <c r="U60" s="24"/>
      <c r="V60" s="24"/>
      <c r="W60" s="24"/>
      <c r="X60" s="24"/>
      <c r="Y60" s="24"/>
      <c r="Z60" s="24"/>
      <c r="AA60" s="24"/>
      <c r="AB60" s="24"/>
    </row>
    <row r="61" spans="1:28" ht="20.25" hidden="1" x14ac:dyDescent="0.25">
      <c r="A61" s="73"/>
      <c r="B61" s="73"/>
      <c r="C61" s="73"/>
      <c r="D61" s="73"/>
      <c r="E61" s="73"/>
      <c r="F61" s="73"/>
      <c r="G61" s="79"/>
      <c r="H61" s="79"/>
      <c r="I61" s="79"/>
      <c r="J61" s="24"/>
      <c r="K61" s="24"/>
      <c r="L61" s="24"/>
      <c r="M61" s="24"/>
      <c r="N61" s="24"/>
      <c r="O61" s="24"/>
      <c r="P61" s="24"/>
      <c r="Q61" s="24"/>
      <c r="R61" s="24"/>
      <c r="S61" s="24"/>
      <c r="T61" s="24"/>
      <c r="U61" s="24"/>
      <c r="V61" s="24"/>
      <c r="W61" s="24"/>
      <c r="X61" s="24"/>
      <c r="Y61" s="24"/>
      <c r="Z61" s="24"/>
      <c r="AA61" s="24"/>
      <c r="AB61" s="24"/>
    </row>
    <row r="62" spans="1:28" ht="20.25" hidden="1" x14ac:dyDescent="0.25">
      <c r="A62" s="73"/>
      <c r="B62" s="73"/>
      <c r="C62" s="73"/>
      <c r="D62" s="73"/>
      <c r="E62" s="73"/>
      <c r="F62" s="73"/>
      <c r="G62" s="79"/>
      <c r="H62" s="79"/>
      <c r="I62" s="79"/>
      <c r="J62" s="24"/>
      <c r="K62" s="24"/>
      <c r="L62" s="24"/>
      <c r="M62" s="24"/>
      <c r="N62" s="24"/>
      <c r="O62" s="24"/>
      <c r="P62" s="24"/>
      <c r="Q62" s="24"/>
      <c r="R62" s="24"/>
      <c r="S62" s="24"/>
      <c r="T62" s="24"/>
      <c r="U62" s="24"/>
      <c r="V62" s="24"/>
      <c r="W62" s="24"/>
      <c r="X62" s="24"/>
      <c r="Y62" s="24"/>
      <c r="Z62" s="24"/>
      <c r="AA62" s="24"/>
      <c r="AB62" s="24"/>
    </row>
    <row r="63" spans="1:28" hidden="1" x14ac:dyDescent="0.25">
      <c r="A63" s="73"/>
      <c r="B63" s="73"/>
      <c r="C63" s="73"/>
      <c r="D63" s="73"/>
      <c r="E63" s="73"/>
      <c r="F63" s="73"/>
      <c r="G63" s="73"/>
      <c r="H63" s="73"/>
      <c r="I63" s="73"/>
      <c r="J63" s="24"/>
      <c r="K63" s="24"/>
      <c r="L63" s="24"/>
      <c r="M63" s="24"/>
      <c r="N63" s="24"/>
      <c r="O63" s="24"/>
      <c r="P63" s="24"/>
      <c r="Q63" s="24"/>
      <c r="R63" s="24"/>
      <c r="S63" s="24"/>
      <c r="T63" s="24"/>
      <c r="U63" s="24"/>
      <c r="V63" s="24"/>
      <c r="W63" s="24"/>
      <c r="X63" s="24"/>
      <c r="Y63" s="24"/>
      <c r="Z63" s="24"/>
      <c r="AA63" s="24"/>
      <c r="AB63" s="24"/>
    </row>
    <row r="64" spans="1:28" hidden="1" x14ac:dyDescent="0.25">
      <c r="A64" s="73"/>
      <c r="B64" s="73"/>
      <c r="C64" s="73"/>
      <c r="D64" s="73"/>
      <c r="E64" s="73"/>
      <c r="F64" s="73"/>
      <c r="G64" s="73"/>
      <c r="H64" s="73"/>
      <c r="I64" s="73"/>
      <c r="J64" s="24"/>
      <c r="K64" s="24"/>
      <c r="L64" s="24"/>
      <c r="M64" s="24"/>
      <c r="N64" s="24"/>
      <c r="O64" s="24"/>
      <c r="P64" s="24"/>
      <c r="Q64" s="24"/>
      <c r="R64" s="24"/>
      <c r="S64" s="24"/>
      <c r="T64" s="24"/>
      <c r="U64" s="24"/>
      <c r="V64" s="24"/>
      <c r="W64" s="24"/>
      <c r="X64" s="24"/>
      <c r="Y64" s="24"/>
      <c r="Z64" s="24"/>
      <c r="AA64" s="24"/>
      <c r="AB64" s="24"/>
    </row>
    <row r="65" spans="1:28" hidden="1" x14ac:dyDescent="0.25">
      <c r="A65" s="73"/>
      <c r="B65" s="73"/>
      <c r="C65" s="73"/>
      <c r="D65" s="73"/>
      <c r="E65" s="73"/>
      <c r="F65" s="73"/>
      <c r="G65" s="73"/>
      <c r="H65" s="73"/>
      <c r="I65" s="73"/>
      <c r="J65" s="24"/>
      <c r="K65" s="24"/>
      <c r="L65" s="24"/>
      <c r="M65" s="24"/>
      <c r="N65" s="24"/>
      <c r="O65" s="24"/>
      <c r="P65" s="24"/>
      <c r="Q65" s="24"/>
      <c r="R65" s="24"/>
      <c r="S65" s="24"/>
      <c r="T65" s="24"/>
      <c r="U65" s="24"/>
      <c r="V65" s="24"/>
      <c r="W65" s="24"/>
      <c r="X65" s="24"/>
      <c r="Y65" s="24"/>
      <c r="Z65" s="24"/>
      <c r="AA65" s="24"/>
      <c r="AB65" s="24"/>
    </row>
    <row r="66" spans="1:28" hidden="1" x14ac:dyDescent="0.25">
      <c r="A66" s="73"/>
      <c r="B66" s="73"/>
      <c r="C66" s="73"/>
      <c r="D66" s="73"/>
      <c r="E66" s="73"/>
      <c r="F66" s="73"/>
      <c r="G66" s="73"/>
      <c r="H66" s="73"/>
      <c r="I66" s="73"/>
      <c r="J66" s="24"/>
      <c r="K66" s="24"/>
      <c r="L66" s="24"/>
      <c r="M66" s="24"/>
      <c r="N66" s="24"/>
      <c r="O66" s="24"/>
      <c r="P66" s="24"/>
      <c r="Q66" s="24"/>
      <c r="R66" s="24"/>
      <c r="S66" s="24"/>
      <c r="T66" s="24"/>
      <c r="U66" s="24"/>
      <c r="V66" s="24"/>
      <c r="W66" s="24"/>
      <c r="X66" s="24"/>
      <c r="Y66" s="24"/>
      <c r="Z66" s="24"/>
      <c r="AA66" s="24"/>
      <c r="AB66" s="24"/>
    </row>
    <row r="67" spans="1:28" hidden="1" x14ac:dyDescent="0.25">
      <c r="A67" s="73"/>
      <c r="B67" s="73"/>
      <c r="C67" s="73"/>
      <c r="D67" s="73"/>
      <c r="E67" s="73"/>
      <c r="F67" s="73"/>
      <c r="G67" s="73"/>
      <c r="H67" s="73"/>
      <c r="I67" s="73"/>
      <c r="J67" s="24"/>
      <c r="K67" s="24"/>
      <c r="L67" s="24"/>
      <c r="M67" s="24"/>
      <c r="N67" s="24"/>
      <c r="O67" s="24"/>
      <c r="P67" s="24"/>
      <c r="Q67" s="24"/>
      <c r="R67" s="24"/>
      <c r="S67" s="24"/>
      <c r="T67" s="24"/>
      <c r="U67" s="24"/>
      <c r="V67" s="24"/>
      <c r="W67" s="24"/>
      <c r="X67" s="24"/>
      <c r="Y67" s="24"/>
      <c r="Z67" s="24"/>
      <c r="AA67" s="24"/>
      <c r="AB67" s="24"/>
    </row>
    <row r="68" spans="1:28" hidden="1" x14ac:dyDescent="0.25">
      <c r="A68" s="73"/>
      <c r="B68" s="73"/>
      <c r="C68" s="73"/>
      <c r="D68" s="73"/>
      <c r="E68" s="73"/>
      <c r="F68" s="73"/>
      <c r="G68" s="73"/>
      <c r="H68" s="73"/>
      <c r="I68" s="73"/>
      <c r="J68" s="24"/>
      <c r="K68" s="24"/>
      <c r="L68" s="24"/>
      <c r="M68" s="24"/>
      <c r="N68" s="24"/>
      <c r="O68" s="24"/>
      <c r="P68" s="24"/>
      <c r="Q68" s="24"/>
      <c r="R68" s="24"/>
      <c r="S68" s="24"/>
      <c r="T68" s="24"/>
      <c r="U68" s="24"/>
      <c r="V68" s="24"/>
      <c r="W68" s="24"/>
      <c r="X68" s="24"/>
      <c r="Y68" s="24"/>
      <c r="Z68" s="24"/>
      <c r="AA68" s="24"/>
      <c r="AB68" s="24"/>
    </row>
    <row r="69" spans="1:28" hidden="1" x14ac:dyDescent="0.25">
      <c r="A69" s="73"/>
      <c r="B69" s="73"/>
      <c r="C69" s="73"/>
      <c r="D69" s="73"/>
      <c r="E69" s="73"/>
      <c r="F69" s="73"/>
      <c r="G69" s="73"/>
      <c r="H69" s="73"/>
      <c r="I69" s="73"/>
      <c r="J69" s="24"/>
      <c r="K69" s="24"/>
      <c r="L69" s="24"/>
      <c r="M69" s="24"/>
      <c r="N69" s="24"/>
      <c r="O69" s="24"/>
      <c r="P69" s="24"/>
      <c r="Q69" s="24"/>
      <c r="R69" s="24"/>
      <c r="S69" s="24"/>
      <c r="T69" s="24"/>
      <c r="U69" s="24"/>
      <c r="V69" s="24"/>
      <c r="W69" s="24"/>
      <c r="X69" s="24"/>
      <c r="Y69" s="24"/>
      <c r="Z69" s="24"/>
      <c r="AA69" s="24"/>
      <c r="AB69" s="24"/>
    </row>
    <row r="70" spans="1:28" hidden="1" x14ac:dyDescent="0.25">
      <c r="A70" s="73"/>
      <c r="B70" s="73"/>
      <c r="C70" s="73"/>
      <c r="D70" s="73"/>
      <c r="E70" s="73"/>
      <c r="F70" s="73"/>
      <c r="G70" s="73"/>
      <c r="H70" s="73"/>
      <c r="I70" s="73"/>
      <c r="J70" s="24"/>
      <c r="K70" s="24"/>
      <c r="L70" s="24"/>
      <c r="M70" s="24"/>
      <c r="N70" s="24"/>
      <c r="O70" s="24"/>
      <c r="P70" s="24"/>
      <c r="Q70" s="24"/>
      <c r="R70" s="24"/>
      <c r="S70" s="24"/>
      <c r="T70" s="24"/>
      <c r="U70" s="24"/>
      <c r="V70" s="24"/>
      <c r="W70" s="24"/>
      <c r="X70" s="24"/>
      <c r="Y70" s="24"/>
      <c r="Z70" s="24"/>
      <c r="AA70" s="24"/>
      <c r="AB70" s="24"/>
    </row>
    <row r="71" spans="1:28" hidden="1" x14ac:dyDescent="0.25">
      <c r="A71" s="73"/>
      <c r="B71" s="73"/>
      <c r="C71" s="73"/>
      <c r="D71" s="73"/>
      <c r="E71" s="73"/>
      <c r="F71" s="73"/>
      <c r="G71" s="73"/>
      <c r="H71" s="73"/>
      <c r="I71" s="73"/>
      <c r="J71" s="24"/>
      <c r="K71" s="24"/>
      <c r="L71" s="24"/>
      <c r="M71" s="24"/>
      <c r="N71" s="24"/>
      <c r="O71" s="24"/>
      <c r="P71" s="24"/>
      <c r="Q71" s="24"/>
      <c r="R71" s="24"/>
      <c r="S71" s="24"/>
      <c r="T71" s="24"/>
      <c r="U71" s="24"/>
      <c r="V71" s="24"/>
      <c r="W71" s="24"/>
      <c r="X71" s="24"/>
      <c r="Y71" s="24"/>
      <c r="Z71" s="24"/>
      <c r="AA71" s="24"/>
      <c r="AB71" s="24"/>
    </row>
    <row r="72" spans="1:28" hidden="1" x14ac:dyDescent="0.25">
      <c r="A72" s="73"/>
      <c r="B72" s="73"/>
      <c r="C72" s="73"/>
      <c r="D72" s="73"/>
      <c r="E72" s="73"/>
      <c r="F72" s="73"/>
      <c r="G72" s="73"/>
      <c r="H72" s="73"/>
      <c r="I72" s="73"/>
      <c r="J72" s="24"/>
      <c r="K72" s="24"/>
      <c r="L72" s="24"/>
      <c r="M72" s="24"/>
      <c r="N72" s="24"/>
      <c r="O72" s="24"/>
      <c r="P72" s="24"/>
      <c r="Q72" s="24"/>
      <c r="R72" s="24"/>
      <c r="S72" s="24"/>
      <c r="T72" s="24"/>
      <c r="U72" s="24"/>
      <c r="V72" s="24"/>
      <c r="W72" s="24"/>
      <c r="X72" s="24"/>
      <c r="Y72" s="24"/>
      <c r="Z72" s="24"/>
      <c r="AA72" s="24"/>
      <c r="AB72" s="24"/>
    </row>
    <row r="73" spans="1:28" hidden="1" x14ac:dyDescent="0.25">
      <c r="A73" s="73"/>
      <c r="B73" s="73"/>
      <c r="C73" s="73"/>
      <c r="D73" s="73"/>
      <c r="E73" s="73"/>
      <c r="F73" s="73"/>
      <c r="G73" s="73"/>
      <c r="H73" s="73"/>
      <c r="I73" s="73"/>
      <c r="J73" s="24"/>
      <c r="K73" s="24"/>
      <c r="L73" s="24"/>
      <c r="M73" s="24"/>
      <c r="N73" s="24"/>
      <c r="O73" s="24"/>
      <c r="P73" s="24"/>
      <c r="Q73" s="24"/>
      <c r="R73" s="24"/>
      <c r="S73" s="24"/>
      <c r="T73" s="24"/>
      <c r="U73" s="24"/>
      <c r="V73" s="24"/>
      <c r="W73" s="24"/>
      <c r="X73" s="24"/>
      <c r="Y73" s="24"/>
      <c r="Z73" s="24"/>
      <c r="AA73" s="24"/>
      <c r="AB73" s="24"/>
    </row>
    <row r="74" spans="1:28" hidden="1" x14ac:dyDescent="0.25">
      <c r="A74" s="73"/>
      <c r="B74" s="73"/>
      <c r="C74" s="73"/>
      <c r="D74" s="73"/>
      <c r="E74" s="73"/>
      <c r="F74" s="73"/>
      <c r="G74" s="73"/>
      <c r="H74" s="73"/>
      <c r="I74" s="73"/>
      <c r="J74" s="24"/>
      <c r="K74" s="24"/>
      <c r="L74" s="24"/>
      <c r="M74" s="24"/>
      <c r="N74" s="24"/>
      <c r="O74" s="24"/>
      <c r="P74" s="24"/>
      <c r="Q74" s="24"/>
      <c r="R74" s="24"/>
      <c r="S74" s="24"/>
      <c r="T74" s="24"/>
      <c r="U74" s="24"/>
      <c r="V74" s="24"/>
      <c r="W74" s="24"/>
      <c r="X74" s="24"/>
      <c r="Y74" s="24"/>
      <c r="Z74" s="24"/>
      <c r="AA74" s="24"/>
      <c r="AB74" s="24"/>
    </row>
    <row r="75" spans="1:28" hidden="1" x14ac:dyDescent="0.25">
      <c r="A75" s="73"/>
      <c r="B75" s="73"/>
      <c r="C75" s="73"/>
      <c r="D75" s="73"/>
      <c r="E75" s="73"/>
      <c r="F75" s="73"/>
      <c r="G75" s="73"/>
      <c r="H75" s="73"/>
      <c r="I75" s="73"/>
      <c r="J75" s="24"/>
      <c r="K75" s="24"/>
      <c r="L75" s="24"/>
      <c r="M75" s="24"/>
      <c r="N75" s="24"/>
      <c r="O75" s="24"/>
      <c r="P75" s="24"/>
      <c r="Q75" s="24"/>
      <c r="R75" s="24"/>
      <c r="S75" s="24"/>
      <c r="T75" s="24"/>
      <c r="U75" s="24"/>
      <c r="V75" s="24"/>
      <c r="W75" s="24"/>
      <c r="X75" s="24"/>
      <c r="Y75" s="24"/>
      <c r="Z75" s="24"/>
      <c r="AA75" s="24"/>
      <c r="AB75" s="24"/>
    </row>
    <row r="76" spans="1:28" hidden="1" x14ac:dyDescent="0.25">
      <c r="A76" s="73"/>
      <c r="B76" s="73"/>
      <c r="C76" s="73"/>
      <c r="D76" s="73"/>
      <c r="E76" s="73"/>
      <c r="F76" s="73"/>
      <c r="G76" s="73"/>
      <c r="H76" s="73"/>
      <c r="I76" s="73"/>
      <c r="J76" s="24"/>
      <c r="K76" s="24"/>
      <c r="L76" s="24"/>
      <c r="M76" s="24"/>
      <c r="N76" s="24"/>
      <c r="O76" s="24"/>
      <c r="P76" s="24"/>
      <c r="Q76" s="24"/>
      <c r="R76" s="24"/>
      <c r="S76" s="24"/>
      <c r="T76" s="24"/>
      <c r="U76" s="24"/>
      <c r="V76" s="24"/>
      <c r="W76" s="24"/>
      <c r="X76" s="24"/>
      <c r="Y76" s="24"/>
      <c r="Z76" s="24"/>
      <c r="AA76" s="24"/>
      <c r="AB76" s="24"/>
    </row>
    <row r="77" spans="1:28" hidden="1" x14ac:dyDescent="0.25">
      <c r="A77" s="73"/>
      <c r="B77" s="73"/>
      <c r="C77" s="73"/>
      <c r="D77" s="73"/>
      <c r="E77" s="73"/>
      <c r="F77" s="73"/>
      <c r="G77" s="73"/>
      <c r="H77" s="73"/>
      <c r="I77" s="73"/>
      <c r="J77" s="24"/>
      <c r="K77" s="24"/>
      <c r="L77" s="24"/>
      <c r="M77" s="24"/>
      <c r="N77" s="24"/>
      <c r="O77" s="24"/>
      <c r="P77" s="24"/>
      <c r="Q77" s="24"/>
      <c r="R77" s="24"/>
      <c r="S77" s="24"/>
      <c r="T77" s="24"/>
      <c r="U77" s="24"/>
      <c r="V77" s="24"/>
      <c r="W77" s="24"/>
      <c r="X77" s="24"/>
      <c r="Y77" s="24"/>
      <c r="Z77" s="24"/>
      <c r="AA77" s="24"/>
      <c r="AB77" s="24"/>
    </row>
    <row r="78" spans="1:28" hidden="1" x14ac:dyDescent="0.25">
      <c r="A78" s="73"/>
      <c r="B78" s="73"/>
      <c r="C78" s="73"/>
      <c r="D78" s="73"/>
      <c r="E78" s="73"/>
      <c r="F78" s="73"/>
      <c r="G78" s="73"/>
      <c r="H78" s="73"/>
      <c r="I78" s="73"/>
      <c r="J78" s="24"/>
      <c r="K78" s="24"/>
      <c r="L78" s="24"/>
      <c r="M78" s="24"/>
      <c r="N78" s="24"/>
      <c r="O78" s="24"/>
      <c r="P78" s="24"/>
      <c r="Q78" s="24"/>
      <c r="R78" s="24"/>
      <c r="S78" s="24"/>
      <c r="T78" s="24"/>
      <c r="U78" s="24"/>
      <c r="V78" s="24"/>
      <c r="W78" s="24"/>
      <c r="X78" s="24"/>
      <c r="Y78" s="24"/>
      <c r="Z78" s="24"/>
      <c r="AA78" s="24"/>
      <c r="AB78" s="24"/>
    </row>
    <row r="79" spans="1:28" hidden="1" x14ac:dyDescent="0.25">
      <c r="A79" s="73"/>
      <c r="B79" s="73"/>
      <c r="C79" s="73"/>
      <c r="D79" s="73"/>
      <c r="E79" s="73"/>
      <c r="F79" s="73"/>
      <c r="G79" s="73"/>
      <c r="H79" s="73"/>
      <c r="I79" s="73"/>
      <c r="J79" s="24"/>
      <c r="K79" s="24"/>
      <c r="L79" s="24"/>
      <c r="M79" s="24"/>
      <c r="N79" s="24"/>
      <c r="O79" s="24"/>
      <c r="P79" s="24"/>
      <c r="Q79" s="24"/>
      <c r="R79" s="24"/>
      <c r="S79" s="24"/>
      <c r="T79" s="24"/>
      <c r="U79" s="24"/>
      <c r="V79" s="24"/>
      <c r="W79" s="24"/>
      <c r="X79" s="24"/>
      <c r="Y79" s="24"/>
      <c r="Z79" s="24"/>
      <c r="AA79" s="24"/>
      <c r="AB79" s="24"/>
    </row>
    <row r="80" spans="1:28" hidden="1" x14ac:dyDescent="0.25">
      <c r="A80" s="73"/>
      <c r="B80" s="73"/>
      <c r="C80" s="73"/>
      <c r="D80" s="73"/>
      <c r="E80" s="73"/>
      <c r="F80" s="73"/>
      <c r="G80" s="73"/>
      <c r="H80" s="73"/>
      <c r="I80" s="73"/>
      <c r="J80" s="24"/>
      <c r="K80" s="24"/>
      <c r="L80" s="24"/>
      <c r="M80" s="24"/>
      <c r="N80" s="24"/>
      <c r="O80" s="24"/>
      <c r="P80" s="24"/>
      <c r="Q80" s="24"/>
      <c r="R80" s="24"/>
      <c r="S80" s="24"/>
      <c r="T80" s="24"/>
      <c r="U80" s="24"/>
      <c r="V80" s="24"/>
      <c r="W80" s="24"/>
      <c r="X80" s="24"/>
      <c r="Y80" s="24"/>
      <c r="Z80" s="24"/>
      <c r="AA80" s="24"/>
      <c r="AB80" s="24"/>
    </row>
    <row r="81" spans="1:28" ht="15.75" hidden="1" x14ac:dyDescent="0.25">
      <c r="A81" s="73"/>
      <c r="B81" s="73"/>
      <c r="C81" s="73"/>
      <c r="D81" s="73"/>
      <c r="E81" s="73"/>
      <c r="F81" s="74"/>
      <c r="G81" s="74"/>
      <c r="H81" s="73"/>
      <c r="I81" s="73"/>
      <c r="J81" s="24"/>
      <c r="K81" s="24"/>
      <c r="L81" s="24"/>
      <c r="M81" s="24"/>
      <c r="N81" s="24"/>
      <c r="O81" s="24"/>
      <c r="P81" s="24"/>
      <c r="Q81" s="24"/>
      <c r="R81" s="24"/>
      <c r="S81" s="24"/>
      <c r="T81" s="24"/>
      <c r="U81" s="24"/>
      <c r="V81" s="24"/>
      <c r="W81" s="24"/>
      <c r="X81" s="24"/>
      <c r="Y81" s="24"/>
      <c r="Z81" s="24"/>
      <c r="AA81" s="24"/>
      <c r="AB81" s="24"/>
    </row>
    <row r="82" spans="1:28" ht="15.75" hidden="1" x14ac:dyDescent="0.25">
      <c r="A82" s="73"/>
      <c r="B82" s="73"/>
      <c r="C82" s="73"/>
      <c r="D82" s="74"/>
      <c r="E82" s="74"/>
      <c r="F82" s="74"/>
      <c r="G82" s="74"/>
      <c r="H82" s="73"/>
      <c r="I82" s="73"/>
      <c r="J82" s="24"/>
      <c r="K82" s="24"/>
      <c r="L82" s="24"/>
      <c r="M82" s="24"/>
      <c r="N82" s="24"/>
      <c r="O82" s="24"/>
      <c r="P82" s="24"/>
      <c r="Q82" s="24"/>
      <c r="R82" s="24"/>
      <c r="S82" s="24"/>
      <c r="T82" s="24"/>
      <c r="U82" s="24"/>
      <c r="V82" s="24"/>
      <c r="W82" s="24"/>
      <c r="X82" s="24"/>
      <c r="Y82" s="24"/>
      <c r="Z82" s="24"/>
      <c r="AA82" s="24"/>
      <c r="AB82" s="24"/>
    </row>
    <row r="83" spans="1:28" ht="15.75" hidden="1" x14ac:dyDescent="0.25">
      <c r="A83" s="74"/>
      <c r="B83" s="74"/>
      <c r="C83" s="74"/>
      <c r="D83" s="74"/>
      <c r="E83" s="74"/>
      <c r="F83" s="74"/>
      <c r="G83" s="74"/>
      <c r="H83" s="73"/>
      <c r="I83" s="73"/>
      <c r="J83" s="24"/>
      <c r="K83" s="24"/>
      <c r="L83" s="24"/>
      <c r="M83" s="24"/>
      <c r="N83" s="24"/>
      <c r="O83" s="24"/>
      <c r="P83" s="24"/>
      <c r="Q83" s="24"/>
      <c r="R83" s="24"/>
      <c r="S83" s="24"/>
      <c r="T83" s="24"/>
      <c r="U83" s="24"/>
      <c r="V83" s="24"/>
      <c r="W83" s="24"/>
      <c r="X83" s="24"/>
      <c r="Y83" s="24"/>
      <c r="Z83" s="24"/>
      <c r="AA83" s="24"/>
      <c r="AB83" s="24"/>
    </row>
    <row r="84" spans="1:28" ht="15.75" hidden="1" x14ac:dyDescent="0.25">
      <c r="A84" s="74"/>
      <c r="B84" s="74"/>
      <c r="C84" s="74"/>
      <c r="D84" s="74"/>
      <c r="E84" s="74"/>
      <c r="F84" s="74"/>
      <c r="G84" s="74"/>
      <c r="H84" s="73"/>
      <c r="I84" s="73"/>
      <c r="J84" s="24"/>
      <c r="K84" s="24"/>
      <c r="L84" s="24"/>
      <c r="M84" s="24"/>
      <c r="N84" s="24"/>
      <c r="O84" s="24"/>
      <c r="P84" s="24"/>
      <c r="Q84" s="24"/>
      <c r="R84" s="24"/>
      <c r="S84" s="24"/>
      <c r="T84" s="24"/>
      <c r="U84" s="24"/>
      <c r="V84" s="24"/>
      <c r="W84" s="24"/>
      <c r="X84" s="24"/>
      <c r="Y84" s="24"/>
      <c r="Z84" s="24"/>
      <c r="AA84" s="24"/>
      <c r="AB84" s="24"/>
    </row>
    <row r="85" spans="1:28" ht="15.75" hidden="1" x14ac:dyDescent="0.25">
      <c r="A85" s="74"/>
      <c r="B85" s="74"/>
      <c r="C85" s="74"/>
      <c r="D85" s="74"/>
      <c r="E85" s="74"/>
      <c r="F85" s="73"/>
      <c r="G85" s="73"/>
      <c r="H85" s="73"/>
      <c r="I85" s="73"/>
      <c r="J85" s="24"/>
      <c r="K85" s="24"/>
      <c r="L85" s="24"/>
      <c r="M85" s="24"/>
      <c r="N85" s="24"/>
      <c r="O85" s="24"/>
      <c r="P85" s="24"/>
      <c r="Q85" s="24"/>
      <c r="R85" s="24"/>
      <c r="S85" s="24"/>
      <c r="T85" s="24"/>
      <c r="U85" s="24"/>
      <c r="V85" s="24"/>
      <c r="W85" s="24"/>
      <c r="X85" s="24"/>
      <c r="Y85" s="24"/>
      <c r="Z85" s="24"/>
      <c r="AA85" s="24"/>
      <c r="AB85" s="24"/>
    </row>
    <row r="86" spans="1:28" hidden="1" x14ac:dyDescent="0.25">
      <c r="A86" s="73"/>
      <c r="B86" s="73"/>
      <c r="C86" s="73"/>
      <c r="D86" s="73"/>
      <c r="E86" s="73"/>
      <c r="F86" s="73"/>
      <c r="G86" s="73"/>
      <c r="H86" s="73"/>
      <c r="I86" s="73"/>
      <c r="J86" s="24"/>
      <c r="K86" s="24"/>
      <c r="L86" s="24"/>
      <c r="M86" s="24"/>
      <c r="N86" s="24"/>
      <c r="O86" s="24"/>
      <c r="P86" s="24"/>
      <c r="Q86" s="24"/>
      <c r="R86" s="24"/>
      <c r="S86" s="24"/>
      <c r="T86" s="24"/>
      <c r="U86" s="24"/>
      <c r="V86" s="24"/>
      <c r="W86" s="24"/>
      <c r="X86" s="24"/>
      <c r="Y86" s="24"/>
      <c r="Z86" s="24"/>
      <c r="AA86" s="24"/>
      <c r="AB86" s="24"/>
    </row>
    <row r="87" spans="1:28" hidden="1" x14ac:dyDescent="0.25">
      <c r="A87" s="73"/>
      <c r="B87" s="73"/>
      <c r="C87" s="73"/>
      <c r="D87" s="73"/>
      <c r="E87" s="73"/>
      <c r="F87" s="73"/>
      <c r="G87" s="73"/>
      <c r="H87" s="73"/>
      <c r="I87" s="73"/>
      <c r="J87" s="24"/>
      <c r="K87" s="24"/>
      <c r="L87" s="24"/>
      <c r="M87" s="24"/>
      <c r="N87" s="24"/>
      <c r="O87" s="24"/>
      <c r="P87" s="24"/>
      <c r="Q87" s="24"/>
      <c r="R87" s="24"/>
      <c r="S87" s="24"/>
      <c r="T87" s="24"/>
      <c r="U87" s="24"/>
      <c r="V87" s="24"/>
      <c r="W87" s="24"/>
      <c r="X87" s="24"/>
      <c r="Y87" s="24"/>
      <c r="Z87" s="24"/>
      <c r="AA87" s="24"/>
      <c r="AB87" s="24"/>
    </row>
    <row r="88" spans="1:28" hidden="1" x14ac:dyDescent="0.25">
      <c r="A88" s="73"/>
      <c r="B88" s="73"/>
      <c r="C88" s="73"/>
      <c r="D88" s="73"/>
      <c r="E88" s="73"/>
      <c r="F88" s="73"/>
      <c r="G88" s="73"/>
      <c r="H88" s="73"/>
      <c r="I88" s="73"/>
      <c r="J88" s="24"/>
      <c r="K88" s="24"/>
      <c r="L88" s="24"/>
      <c r="M88" s="24"/>
      <c r="N88" s="24"/>
      <c r="O88" s="24"/>
      <c r="P88" s="24"/>
      <c r="Q88" s="24"/>
      <c r="R88" s="24"/>
      <c r="S88" s="24"/>
      <c r="T88" s="24"/>
      <c r="U88" s="24"/>
      <c r="V88" s="24"/>
      <c r="W88" s="24"/>
      <c r="X88" s="24"/>
      <c r="Y88" s="24"/>
      <c r="Z88" s="24"/>
      <c r="AA88" s="24"/>
      <c r="AB88" s="24"/>
    </row>
    <row r="89" spans="1:28" hidden="1" x14ac:dyDescent="0.25">
      <c r="A89" s="73"/>
      <c r="B89" s="73"/>
      <c r="C89" s="73"/>
      <c r="D89" s="73"/>
      <c r="E89" s="73"/>
      <c r="F89" s="73"/>
      <c r="G89" s="73"/>
      <c r="H89" s="73"/>
      <c r="I89" s="73"/>
      <c r="J89" s="24"/>
      <c r="K89" s="24"/>
      <c r="L89" s="24"/>
      <c r="M89" s="24"/>
      <c r="N89" s="24"/>
      <c r="O89" s="24"/>
      <c r="P89" s="24"/>
      <c r="Q89" s="24"/>
      <c r="R89" s="24"/>
      <c r="S89" s="24"/>
      <c r="T89" s="24"/>
      <c r="U89" s="24"/>
      <c r="V89" s="24"/>
      <c r="W89" s="24"/>
      <c r="X89" s="24"/>
      <c r="Y89" s="24"/>
      <c r="Z89" s="24"/>
      <c r="AA89" s="24"/>
      <c r="AB89" s="24"/>
    </row>
    <row r="90" spans="1:28" hidden="1" x14ac:dyDescent="0.25">
      <c r="A90" s="73"/>
      <c r="B90" s="73"/>
      <c r="C90" s="73"/>
      <c r="D90" s="73"/>
      <c r="E90" s="73"/>
      <c r="F90" s="73"/>
      <c r="G90" s="73"/>
      <c r="H90" s="73"/>
      <c r="I90" s="73"/>
      <c r="J90" s="24"/>
      <c r="K90" s="24"/>
      <c r="L90" s="24"/>
      <c r="M90" s="24"/>
      <c r="N90" s="24"/>
      <c r="O90" s="24"/>
      <c r="P90" s="24"/>
      <c r="Q90" s="24"/>
      <c r="R90" s="24"/>
      <c r="S90" s="24"/>
      <c r="T90" s="24"/>
      <c r="U90" s="24"/>
      <c r="V90" s="24"/>
      <c r="W90" s="24"/>
      <c r="X90" s="24"/>
      <c r="Y90" s="24"/>
      <c r="Z90" s="24"/>
      <c r="AA90" s="24"/>
      <c r="AB90" s="24"/>
    </row>
    <row r="91" spans="1:28" hidden="1" x14ac:dyDescent="0.25">
      <c r="A91" s="73"/>
      <c r="B91" s="73"/>
      <c r="C91" s="73"/>
      <c r="D91" s="73"/>
      <c r="E91" s="73"/>
      <c r="F91" s="73"/>
      <c r="G91" s="73"/>
      <c r="H91" s="73"/>
      <c r="I91" s="73"/>
      <c r="J91" s="24"/>
      <c r="K91" s="24"/>
      <c r="L91" s="24"/>
      <c r="M91" s="24"/>
      <c r="N91" s="24"/>
      <c r="O91" s="24"/>
      <c r="P91" s="24"/>
      <c r="Q91" s="24"/>
      <c r="R91" s="24"/>
      <c r="S91" s="24"/>
      <c r="T91" s="24"/>
      <c r="U91" s="24"/>
      <c r="V91" s="24"/>
      <c r="W91" s="24"/>
      <c r="X91" s="24"/>
      <c r="Y91" s="24"/>
      <c r="Z91" s="24"/>
      <c r="AA91" s="24"/>
      <c r="AB91" s="24"/>
    </row>
    <row r="92" spans="1:28" hidden="1" x14ac:dyDescent="0.25">
      <c r="A92" s="73"/>
      <c r="B92" s="73"/>
      <c r="C92" s="73"/>
      <c r="D92" s="73"/>
      <c r="E92" s="73"/>
      <c r="F92" s="73"/>
      <c r="G92" s="73"/>
      <c r="H92" s="73"/>
      <c r="I92" s="73"/>
      <c r="J92" s="24"/>
      <c r="K92" s="24"/>
      <c r="L92" s="24"/>
      <c r="M92" s="24"/>
      <c r="N92" s="24"/>
      <c r="O92" s="24"/>
      <c r="P92" s="24"/>
      <c r="Q92" s="24"/>
      <c r="R92" s="24"/>
      <c r="S92" s="24"/>
      <c r="T92" s="24"/>
      <c r="U92" s="24"/>
      <c r="V92" s="24"/>
      <c r="W92" s="24"/>
      <c r="X92" s="24"/>
      <c r="Y92" s="24"/>
      <c r="Z92" s="24"/>
      <c r="AA92" s="24"/>
      <c r="AB92" s="24"/>
    </row>
    <row r="93" spans="1:28" hidden="1" x14ac:dyDescent="0.25">
      <c r="A93" s="73"/>
      <c r="B93" s="73"/>
      <c r="C93" s="73"/>
      <c r="D93" s="73"/>
      <c r="E93" s="73"/>
      <c r="F93" s="73"/>
      <c r="G93" s="73"/>
      <c r="H93" s="73"/>
      <c r="I93" s="73"/>
      <c r="J93" s="24"/>
      <c r="K93" s="24"/>
      <c r="L93" s="24"/>
      <c r="M93" s="24"/>
      <c r="N93" s="24"/>
      <c r="O93" s="24"/>
      <c r="P93" s="24"/>
      <c r="Q93" s="24"/>
      <c r="R93" s="24"/>
      <c r="S93" s="24"/>
      <c r="T93" s="24"/>
      <c r="U93" s="24"/>
      <c r="V93" s="24"/>
      <c r="W93" s="24"/>
      <c r="X93" s="24"/>
      <c r="Y93" s="24"/>
      <c r="Z93" s="24"/>
      <c r="AA93" s="24"/>
      <c r="AB93" s="24"/>
    </row>
    <row r="94" spans="1:28" hidden="1" x14ac:dyDescent="0.25">
      <c r="A94" s="73"/>
      <c r="B94" s="73"/>
      <c r="C94" s="73"/>
      <c r="D94" s="73"/>
      <c r="E94" s="73"/>
      <c r="F94" s="73"/>
      <c r="G94" s="73"/>
      <c r="H94" s="73"/>
      <c r="I94" s="73"/>
      <c r="J94" s="24"/>
      <c r="K94" s="24"/>
      <c r="L94" s="24"/>
      <c r="M94" s="24"/>
      <c r="N94" s="24"/>
      <c r="O94" s="24"/>
      <c r="P94" s="24"/>
      <c r="Q94" s="24"/>
      <c r="R94" s="24"/>
      <c r="S94" s="24"/>
      <c r="T94" s="24"/>
      <c r="U94" s="24"/>
      <c r="V94" s="24"/>
      <c r="W94" s="24"/>
      <c r="X94" s="24"/>
      <c r="Y94" s="24"/>
      <c r="Z94" s="24"/>
      <c r="AA94" s="24"/>
      <c r="AB94" s="24"/>
    </row>
    <row r="95" spans="1:28" hidden="1" x14ac:dyDescent="0.25">
      <c r="A95" s="73"/>
      <c r="B95" s="73"/>
      <c r="C95" s="73"/>
      <c r="D95" s="73"/>
      <c r="E95" s="73"/>
      <c r="F95" s="73"/>
      <c r="G95" s="73"/>
      <c r="H95" s="73"/>
      <c r="I95" s="73"/>
      <c r="J95" s="24"/>
      <c r="K95" s="24"/>
      <c r="L95" s="24"/>
      <c r="M95" s="24"/>
      <c r="N95" s="24"/>
      <c r="O95" s="24"/>
      <c r="P95" s="24"/>
      <c r="Q95" s="24"/>
      <c r="R95" s="24"/>
      <c r="S95" s="24"/>
      <c r="T95" s="24"/>
      <c r="U95" s="24"/>
      <c r="V95" s="24"/>
      <c r="W95" s="24"/>
      <c r="X95" s="24"/>
      <c r="Y95" s="24"/>
      <c r="Z95" s="24"/>
      <c r="AA95" s="24"/>
      <c r="AB95" s="24"/>
    </row>
    <row r="96" spans="1:28" hidden="1" x14ac:dyDescent="0.25">
      <c r="A96" s="73"/>
      <c r="B96" s="73"/>
      <c r="C96" s="73"/>
      <c r="D96" s="73"/>
      <c r="E96" s="73"/>
      <c r="F96" s="73"/>
      <c r="G96" s="73"/>
      <c r="H96" s="73"/>
      <c r="I96" s="73"/>
      <c r="J96" s="24"/>
      <c r="K96" s="24"/>
      <c r="L96" s="24"/>
      <c r="M96" s="24"/>
      <c r="N96" s="24"/>
      <c r="O96" s="24"/>
      <c r="P96" s="24"/>
      <c r="Q96" s="24"/>
      <c r="R96" s="24"/>
      <c r="S96" s="24"/>
      <c r="T96" s="24"/>
      <c r="U96" s="24"/>
      <c r="V96" s="24"/>
      <c r="W96" s="24"/>
      <c r="X96" s="24"/>
      <c r="Y96" s="24"/>
      <c r="Z96" s="24"/>
      <c r="AA96" s="24"/>
      <c r="AB96" s="24"/>
    </row>
    <row r="97" spans="1:28" hidden="1" x14ac:dyDescent="0.25">
      <c r="A97" s="73"/>
      <c r="B97" s="73"/>
      <c r="C97" s="73"/>
      <c r="D97" s="73"/>
      <c r="E97" s="73"/>
      <c r="F97" s="73"/>
      <c r="G97" s="73"/>
      <c r="H97" s="73"/>
      <c r="I97" s="73"/>
      <c r="J97" s="24"/>
      <c r="K97" s="24"/>
      <c r="L97" s="24"/>
      <c r="M97" s="24"/>
      <c r="N97" s="24"/>
      <c r="O97" s="24"/>
      <c r="P97" s="24"/>
      <c r="Q97" s="24"/>
      <c r="R97" s="24"/>
      <c r="S97" s="24"/>
      <c r="T97" s="24"/>
      <c r="U97" s="24"/>
      <c r="V97" s="24"/>
      <c r="W97" s="24"/>
      <c r="X97" s="24"/>
      <c r="Y97" s="24"/>
      <c r="Z97" s="24"/>
      <c r="AA97" s="24"/>
      <c r="AB97" s="24"/>
    </row>
    <row r="98" spans="1:28" hidden="1" x14ac:dyDescent="0.25">
      <c r="A98" s="73"/>
      <c r="B98" s="73"/>
      <c r="C98" s="73"/>
      <c r="D98" s="73"/>
      <c r="E98" s="73"/>
      <c r="F98" s="73"/>
      <c r="G98" s="73"/>
      <c r="H98" s="73"/>
      <c r="I98" s="73"/>
      <c r="J98" s="24"/>
      <c r="K98" s="24"/>
      <c r="L98" s="24"/>
      <c r="M98" s="24"/>
      <c r="N98" s="24"/>
      <c r="O98" s="24"/>
      <c r="P98" s="24"/>
      <c r="Q98" s="24"/>
      <c r="R98" s="24"/>
      <c r="S98" s="24"/>
      <c r="T98" s="24"/>
      <c r="U98" s="24"/>
      <c r="V98" s="24"/>
      <c r="W98" s="24"/>
      <c r="X98" s="24"/>
      <c r="Y98" s="24"/>
      <c r="Z98" s="24"/>
      <c r="AA98" s="24"/>
      <c r="AB98" s="24"/>
    </row>
    <row r="99" spans="1:28" hidden="1" x14ac:dyDescent="0.25">
      <c r="A99" s="73"/>
      <c r="B99" s="73"/>
      <c r="C99" s="73"/>
      <c r="D99" s="73"/>
      <c r="E99" s="73"/>
      <c r="F99" s="73"/>
      <c r="G99" s="73"/>
      <c r="H99" s="73"/>
      <c r="I99" s="73"/>
      <c r="J99" s="24"/>
      <c r="K99" s="24"/>
      <c r="L99" s="24"/>
      <c r="M99" s="24"/>
      <c r="N99" s="24"/>
      <c r="O99" s="24"/>
      <c r="P99" s="24"/>
      <c r="Q99" s="24"/>
      <c r="R99" s="24"/>
      <c r="S99" s="24"/>
      <c r="T99" s="24"/>
      <c r="U99" s="24"/>
      <c r="V99" s="24"/>
      <c r="W99" s="24"/>
      <c r="X99" s="24"/>
      <c r="Y99" s="24"/>
      <c r="Z99" s="24"/>
      <c r="AA99" s="24"/>
      <c r="AB99" s="24"/>
    </row>
    <row r="100" spans="1:28" hidden="1" x14ac:dyDescent="0.25">
      <c r="A100" s="73"/>
      <c r="B100" s="73"/>
      <c r="C100" s="73"/>
      <c r="D100" s="73"/>
      <c r="E100" s="73"/>
      <c r="F100" s="73"/>
      <c r="G100" s="73"/>
      <c r="H100" s="73"/>
      <c r="I100" s="73"/>
      <c r="J100" s="24"/>
      <c r="K100" s="24"/>
      <c r="L100" s="24"/>
      <c r="M100" s="24"/>
      <c r="N100" s="24"/>
      <c r="O100" s="24"/>
      <c r="P100" s="24"/>
      <c r="Q100" s="24"/>
      <c r="R100" s="24"/>
      <c r="S100" s="24"/>
      <c r="T100" s="24"/>
      <c r="U100" s="24"/>
      <c r="V100" s="24"/>
      <c r="W100" s="24"/>
      <c r="X100" s="24"/>
      <c r="Y100" s="24"/>
      <c r="Z100" s="24"/>
      <c r="AA100" s="24"/>
      <c r="AB100" s="24"/>
    </row>
    <row r="101" spans="1:28" hidden="1" x14ac:dyDescent="0.25">
      <c r="A101" s="73"/>
      <c r="B101" s="73"/>
      <c r="C101" s="73"/>
      <c r="D101" s="73"/>
      <c r="E101" s="73"/>
      <c r="F101" s="73"/>
      <c r="G101" s="73"/>
      <c r="H101" s="73"/>
      <c r="I101" s="73"/>
      <c r="J101" s="24"/>
      <c r="K101" s="24"/>
      <c r="L101" s="24"/>
      <c r="M101" s="24"/>
      <c r="N101" s="24"/>
      <c r="O101" s="24"/>
      <c r="P101" s="24"/>
      <c r="Q101" s="24"/>
      <c r="R101" s="24"/>
      <c r="S101" s="24"/>
      <c r="T101" s="24"/>
      <c r="U101" s="24"/>
      <c r="V101" s="24"/>
      <c r="W101" s="24"/>
      <c r="X101" s="24"/>
      <c r="Y101" s="24"/>
      <c r="Z101" s="24"/>
      <c r="AA101" s="24"/>
      <c r="AB101" s="24"/>
    </row>
    <row r="102" spans="1:28" hidden="1" x14ac:dyDescent="0.25">
      <c r="A102" s="73"/>
      <c r="B102" s="73"/>
      <c r="C102" s="73"/>
      <c r="D102" s="73"/>
      <c r="E102" s="73"/>
      <c r="F102" s="73"/>
      <c r="G102" s="73"/>
      <c r="H102" s="73"/>
      <c r="I102" s="73"/>
      <c r="J102" s="24"/>
      <c r="K102" s="24"/>
      <c r="L102" s="24"/>
      <c r="M102" s="24"/>
      <c r="N102" s="24"/>
      <c r="O102" s="24"/>
      <c r="P102" s="24"/>
      <c r="Q102" s="24"/>
      <c r="R102" s="24"/>
      <c r="S102" s="24"/>
      <c r="T102" s="24"/>
      <c r="U102" s="24"/>
      <c r="V102" s="24"/>
      <c r="W102" s="24"/>
      <c r="X102" s="24"/>
      <c r="Y102" s="24"/>
      <c r="Z102" s="24"/>
      <c r="AA102" s="24"/>
      <c r="AB102" s="24"/>
    </row>
    <row r="103" spans="1:28" hidden="1" x14ac:dyDescent="0.25">
      <c r="A103" s="73"/>
      <c r="B103" s="73"/>
      <c r="C103" s="73"/>
      <c r="D103" s="73"/>
      <c r="E103" s="73"/>
      <c r="F103" s="73"/>
      <c r="G103" s="73"/>
      <c r="H103" s="73"/>
      <c r="I103" s="73"/>
      <c r="J103" s="24"/>
      <c r="K103" s="24"/>
      <c r="L103" s="24"/>
      <c r="M103" s="24"/>
      <c r="N103" s="24"/>
      <c r="O103" s="24"/>
      <c r="P103" s="24"/>
      <c r="Q103" s="24"/>
      <c r="R103" s="24"/>
      <c r="S103" s="24"/>
      <c r="T103" s="24"/>
      <c r="U103" s="24"/>
      <c r="V103" s="24"/>
      <c r="W103" s="24"/>
      <c r="X103" s="24"/>
      <c r="Y103" s="24"/>
      <c r="Z103" s="24"/>
      <c r="AA103" s="24"/>
      <c r="AB103" s="24"/>
    </row>
    <row r="104" spans="1:28" hidden="1" x14ac:dyDescent="0.25">
      <c r="A104" s="73"/>
      <c r="B104" s="73"/>
      <c r="C104" s="73"/>
      <c r="D104" s="73"/>
      <c r="E104" s="73"/>
      <c r="F104" s="73"/>
      <c r="G104" s="73"/>
      <c r="H104" s="73"/>
      <c r="I104" s="73"/>
      <c r="J104" s="24"/>
      <c r="K104" s="24"/>
      <c r="L104" s="24"/>
      <c r="M104" s="24"/>
      <c r="N104" s="24"/>
      <c r="O104" s="24"/>
      <c r="P104" s="24"/>
      <c r="Q104" s="24"/>
      <c r="R104" s="24"/>
      <c r="S104" s="24"/>
      <c r="T104" s="24"/>
      <c r="U104" s="24"/>
      <c r="V104" s="24"/>
      <c r="W104" s="24"/>
      <c r="X104" s="24"/>
      <c r="Y104" s="24"/>
      <c r="Z104" s="24"/>
      <c r="AA104" s="24"/>
      <c r="AB104" s="24"/>
    </row>
    <row r="105" spans="1:28" hidden="1" x14ac:dyDescent="0.25">
      <c r="A105" s="73"/>
      <c r="B105" s="73"/>
      <c r="C105" s="73"/>
      <c r="D105" s="73"/>
      <c r="E105" s="73"/>
      <c r="F105" s="73"/>
      <c r="G105" s="73"/>
      <c r="H105" s="73"/>
      <c r="I105" s="73"/>
      <c r="J105" s="24"/>
      <c r="K105" s="24"/>
      <c r="L105" s="24"/>
      <c r="M105" s="24"/>
      <c r="N105" s="24"/>
      <c r="O105" s="24"/>
      <c r="P105" s="24"/>
      <c r="Q105" s="24"/>
      <c r="R105" s="24"/>
      <c r="S105" s="24"/>
      <c r="T105" s="24"/>
      <c r="U105" s="24"/>
      <c r="V105" s="24"/>
      <c r="W105" s="24"/>
      <c r="X105" s="24"/>
      <c r="Y105" s="24"/>
      <c r="Z105" s="24"/>
      <c r="AA105" s="24"/>
      <c r="AB105" s="24"/>
    </row>
    <row r="106" spans="1:28" hidden="1" x14ac:dyDescent="0.25">
      <c r="A106" s="73"/>
      <c r="B106" s="73"/>
      <c r="C106" s="73"/>
      <c r="D106" s="73"/>
      <c r="E106" s="73"/>
      <c r="F106" s="73"/>
      <c r="G106" s="73"/>
      <c r="H106" s="73"/>
      <c r="I106" s="73"/>
      <c r="J106" s="24"/>
      <c r="K106" s="24"/>
      <c r="L106" s="24"/>
      <c r="M106" s="24"/>
      <c r="N106" s="24"/>
      <c r="O106" s="24"/>
      <c r="P106" s="24"/>
      <c r="Q106" s="24"/>
      <c r="R106" s="24"/>
      <c r="S106" s="24"/>
      <c r="T106" s="24"/>
      <c r="U106" s="24"/>
      <c r="V106" s="24"/>
      <c r="W106" s="24"/>
      <c r="X106" s="24"/>
      <c r="Y106" s="24"/>
      <c r="Z106" s="24"/>
      <c r="AA106" s="24"/>
      <c r="AB106" s="24"/>
    </row>
    <row r="107" spans="1:28" hidden="1" x14ac:dyDescent="0.25">
      <c r="A107" s="73"/>
      <c r="B107" s="73"/>
      <c r="C107" s="73"/>
      <c r="D107" s="73"/>
      <c r="E107" s="73"/>
      <c r="F107" s="73"/>
      <c r="G107" s="73"/>
      <c r="H107" s="73"/>
      <c r="I107" s="73"/>
      <c r="J107" s="24"/>
      <c r="K107" s="24"/>
      <c r="L107" s="24"/>
      <c r="M107" s="24"/>
      <c r="N107" s="24"/>
      <c r="O107" s="24"/>
      <c r="P107" s="24"/>
      <c r="Q107" s="24"/>
      <c r="R107" s="24"/>
      <c r="S107" s="24"/>
      <c r="T107" s="24"/>
      <c r="U107" s="24"/>
      <c r="V107" s="24"/>
      <c r="W107" s="24"/>
      <c r="X107" s="24"/>
      <c r="Y107" s="24"/>
      <c r="Z107" s="24"/>
      <c r="AA107" s="24"/>
      <c r="AB107" s="24"/>
    </row>
    <row r="108" spans="1:28" hidden="1" x14ac:dyDescent="0.25">
      <c r="A108" s="73"/>
      <c r="B108" s="73"/>
      <c r="C108" s="73"/>
      <c r="D108" s="73"/>
      <c r="E108" s="73"/>
      <c r="F108" s="73"/>
      <c r="G108" s="73"/>
      <c r="H108" s="73"/>
      <c r="I108" s="73"/>
      <c r="J108" s="24"/>
      <c r="K108" s="24"/>
      <c r="L108" s="24"/>
      <c r="M108" s="24"/>
      <c r="N108" s="24"/>
      <c r="O108" s="24"/>
      <c r="P108" s="24"/>
      <c r="Q108" s="24"/>
      <c r="R108" s="24"/>
      <c r="S108" s="24"/>
      <c r="T108" s="24"/>
      <c r="U108" s="24"/>
      <c r="V108" s="24"/>
      <c r="W108" s="24"/>
      <c r="X108" s="24"/>
      <c r="Y108" s="24"/>
      <c r="Z108" s="24"/>
      <c r="AA108" s="24"/>
      <c r="AB108" s="24"/>
    </row>
    <row r="109" spans="1:28" hidden="1" x14ac:dyDescent="0.25">
      <c r="A109" s="73"/>
      <c r="B109" s="73"/>
      <c r="C109" s="73"/>
      <c r="D109" s="73"/>
      <c r="E109" s="73"/>
      <c r="F109" s="73"/>
      <c r="G109" s="73"/>
      <c r="H109" s="73"/>
      <c r="I109" s="73"/>
      <c r="J109" s="24"/>
      <c r="K109" s="24"/>
      <c r="L109" s="24"/>
      <c r="M109" s="24"/>
      <c r="N109" s="24"/>
      <c r="O109" s="24"/>
      <c r="P109" s="24"/>
      <c r="Q109" s="24"/>
      <c r="R109" s="24"/>
      <c r="S109" s="24"/>
      <c r="T109" s="24"/>
      <c r="U109" s="24"/>
      <c r="V109" s="24"/>
      <c r="W109" s="24"/>
      <c r="X109" s="24"/>
      <c r="Y109" s="24"/>
      <c r="Z109" s="24"/>
      <c r="AA109" s="24"/>
      <c r="AB109" s="24"/>
    </row>
    <row r="110" spans="1:28" hidden="1" x14ac:dyDescent="0.25">
      <c r="A110" s="73"/>
      <c r="B110" s="73"/>
      <c r="C110" s="73"/>
      <c r="D110" s="73"/>
      <c r="E110" s="73"/>
      <c r="F110" s="73"/>
      <c r="G110" s="73"/>
      <c r="H110" s="73"/>
      <c r="I110" s="73"/>
      <c r="J110" s="24"/>
      <c r="K110" s="24"/>
      <c r="L110" s="24"/>
      <c r="M110" s="24"/>
      <c r="N110" s="24"/>
      <c r="O110" s="24"/>
      <c r="P110" s="24"/>
      <c r="Q110" s="24"/>
      <c r="R110" s="24"/>
      <c r="S110" s="24"/>
      <c r="T110" s="24"/>
      <c r="U110" s="24"/>
      <c r="V110" s="24"/>
      <c r="W110" s="24"/>
      <c r="X110" s="24"/>
      <c r="Y110" s="24"/>
      <c r="Z110" s="24"/>
      <c r="AA110" s="24"/>
      <c r="AB110" s="24"/>
    </row>
    <row r="111" spans="1:28" hidden="1" x14ac:dyDescent="0.25">
      <c r="A111" s="73"/>
      <c r="B111" s="73"/>
      <c r="C111" s="73"/>
      <c r="D111" s="73"/>
      <c r="E111" s="73"/>
      <c r="F111" s="73"/>
      <c r="G111" s="73"/>
      <c r="H111" s="73"/>
      <c r="I111" s="73"/>
      <c r="J111" s="24"/>
      <c r="K111" s="24"/>
      <c r="L111" s="24"/>
      <c r="M111" s="24"/>
      <c r="N111" s="24"/>
      <c r="O111" s="24"/>
      <c r="P111" s="24"/>
      <c r="Q111" s="24"/>
      <c r="R111" s="24"/>
      <c r="S111" s="24"/>
      <c r="T111" s="24"/>
      <c r="U111" s="24"/>
      <c r="V111" s="24"/>
      <c r="W111" s="24"/>
      <c r="X111" s="24"/>
      <c r="Y111" s="24"/>
      <c r="Z111" s="24"/>
      <c r="AA111" s="24"/>
      <c r="AB111" s="24"/>
    </row>
    <row r="112" spans="1:28" hidden="1" x14ac:dyDescent="0.25">
      <c r="A112" s="73"/>
      <c r="B112" s="73"/>
      <c r="C112" s="73"/>
      <c r="D112" s="73"/>
      <c r="E112" s="73"/>
      <c r="F112" s="73"/>
      <c r="G112" s="73"/>
      <c r="H112" s="73"/>
      <c r="I112" s="73"/>
      <c r="J112" s="24"/>
      <c r="K112" s="24"/>
      <c r="L112" s="24"/>
      <c r="M112" s="24"/>
      <c r="N112" s="24"/>
      <c r="O112" s="24"/>
      <c r="P112" s="24"/>
      <c r="Q112" s="24"/>
      <c r="R112" s="24"/>
      <c r="S112" s="24"/>
      <c r="T112" s="24"/>
      <c r="U112" s="24"/>
      <c r="V112" s="24"/>
      <c r="W112" s="24"/>
      <c r="X112" s="24"/>
      <c r="Y112" s="24"/>
      <c r="Z112" s="24"/>
      <c r="AA112" s="24"/>
      <c r="AB112" s="24"/>
    </row>
    <row r="113" spans="1:28" hidden="1" x14ac:dyDescent="0.25">
      <c r="A113" s="73"/>
      <c r="B113" s="73"/>
      <c r="C113" s="73"/>
      <c r="D113" s="73"/>
      <c r="E113" s="73"/>
      <c r="F113" s="73"/>
      <c r="G113" s="73"/>
      <c r="H113" s="73"/>
      <c r="I113" s="73"/>
      <c r="J113" s="24"/>
      <c r="K113" s="24"/>
      <c r="L113" s="24"/>
      <c r="M113" s="24"/>
      <c r="N113" s="24"/>
      <c r="O113" s="24"/>
      <c r="P113" s="24"/>
      <c r="Q113" s="24"/>
      <c r="R113" s="24"/>
      <c r="S113" s="24"/>
      <c r="T113" s="24"/>
      <c r="U113" s="24"/>
      <c r="V113" s="24"/>
      <c r="W113" s="24"/>
      <c r="X113" s="24"/>
      <c r="Y113" s="24"/>
      <c r="Z113" s="24"/>
      <c r="AA113" s="24"/>
      <c r="AB113" s="24"/>
    </row>
    <row r="114" spans="1:28" hidden="1" x14ac:dyDescent="0.25">
      <c r="A114" s="73"/>
      <c r="B114" s="73"/>
      <c r="C114" s="73"/>
      <c r="D114" s="73"/>
      <c r="E114" s="73"/>
      <c r="F114" s="73"/>
      <c r="G114" s="73"/>
      <c r="H114" s="73"/>
      <c r="I114" s="73"/>
      <c r="J114" s="24"/>
      <c r="K114" s="24"/>
      <c r="L114" s="24"/>
      <c r="M114" s="24"/>
      <c r="N114" s="24"/>
      <c r="O114" s="24"/>
      <c r="P114" s="24"/>
      <c r="Q114" s="24"/>
      <c r="R114" s="24"/>
      <c r="S114" s="24"/>
      <c r="T114" s="24"/>
      <c r="U114" s="24"/>
      <c r="V114" s="24"/>
      <c r="W114" s="24"/>
      <c r="X114" s="24"/>
      <c r="Y114" s="24"/>
      <c r="Z114" s="24"/>
      <c r="AA114" s="24"/>
      <c r="AB114" s="24"/>
    </row>
    <row r="115" spans="1:28" hidden="1" x14ac:dyDescent="0.25">
      <c r="A115" s="80"/>
      <c r="B115" s="80"/>
      <c r="C115" s="80"/>
      <c r="D115" s="80"/>
      <c r="E115" s="73"/>
      <c r="F115" s="73"/>
      <c r="G115" s="73"/>
      <c r="H115" s="73"/>
      <c r="I115" s="73"/>
      <c r="J115" s="24"/>
      <c r="K115" s="24"/>
      <c r="L115" s="24"/>
      <c r="M115" s="24"/>
      <c r="N115" s="24"/>
      <c r="O115" s="24"/>
      <c r="P115" s="24"/>
      <c r="Q115" s="24"/>
      <c r="R115" s="24"/>
      <c r="S115" s="24"/>
      <c r="T115" s="24"/>
      <c r="U115" s="24"/>
      <c r="V115" s="24"/>
      <c r="W115" s="24"/>
      <c r="X115" s="24"/>
      <c r="Y115" s="24"/>
      <c r="Z115" s="24"/>
      <c r="AA115" s="24"/>
      <c r="AB115" s="24"/>
    </row>
    <row r="116" spans="1:28" hidden="1" x14ac:dyDescent="0.25">
      <c r="A116" s="77"/>
      <c r="B116" s="81"/>
      <c r="C116" s="81"/>
      <c r="D116" s="81"/>
      <c r="E116" s="73"/>
      <c r="F116" s="73"/>
      <c r="G116" s="73"/>
      <c r="H116" s="73"/>
      <c r="I116" s="73"/>
      <c r="J116" s="24"/>
      <c r="K116" s="24"/>
      <c r="L116" s="24"/>
      <c r="M116" s="24"/>
      <c r="N116" s="24"/>
      <c r="O116" s="24"/>
      <c r="P116" s="24"/>
      <c r="Q116" s="24"/>
      <c r="R116" s="24"/>
      <c r="S116" s="24"/>
      <c r="T116" s="24"/>
      <c r="U116" s="24"/>
      <c r="V116" s="24"/>
      <c r="W116" s="24"/>
      <c r="X116" s="24"/>
      <c r="Y116" s="24"/>
      <c r="Z116" s="24"/>
      <c r="AA116" s="24"/>
      <c r="AB116" s="24"/>
    </row>
    <row r="117" spans="1:28" hidden="1" x14ac:dyDescent="0.25">
      <c r="A117" s="77"/>
      <c r="B117" s="81"/>
      <c r="C117" s="81"/>
      <c r="D117" s="81"/>
      <c r="E117" s="73"/>
      <c r="F117" s="73"/>
      <c r="G117" s="73"/>
      <c r="H117" s="73"/>
      <c r="I117" s="73"/>
      <c r="J117" s="24"/>
      <c r="K117" s="24"/>
      <c r="L117" s="24"/>
      <c r="M117" s="24"/>
      <c r="N117" s="24"/>
      <c r="O117" s="24"/>
      <c r="P117" s="24"/>
      <c r="Q117" s="24"/>
      <c r="R117" s="24"/>
      <c r="S117" s="24"/>
      <c r="T117" s="24"/>
      <c r="U117" s="24"/>
      <c r="V117" s="24"/>
      <c r="W117" s="24"/>
      <c r="X117" s="24"/>
      <c r="Y117" s="24"/>
      <c r="Z117" s="24"/>
      <c r="AA117" s="24"/>
      <c r="AB117" s="24"/>
    </row>
    <row r="118" spans="1:28" hidden="1" x14ac:dyDescent="0.25">
      <c r="A118" s="77"/>
      <c r="B118" s="81"/>
      <c r="C118" s="81"/>
      <c r="D118" s="82"/>
      <c r="E118" s="73"/>
      <c r="F118" s="73"/>
      <c r="G118" s="73"/>
      <c r="H118" s="73"/>
      <c r="I118" s="73"/>
      <c r="J118" s="24"/>
      <c r="K118" s="24"/>
      <c r="L118" s="24"/>
      <c r="M118" s="24"/>
      <c r="N118" s="24"/>
      <c r="O118" s="24"/>
      <c r="P118" s="24"/>
      <c r="Q118" s="24"/>
      <c r="R118" s="24"/>
      <c r="S118" s="24"/>
      <c r="T118" s="24"/>
      <c r="U118" s="24"/>
      <c r="V118" s="24"/>
      <c r="W118" s="24"/>
      <c r="X118" s="24"/>
      <c r="Y118" s="24"/>
      <c r="Z118" s="24"/>
      <c r="AA118" s="24"/>
      <c r="AB118" s="24"/>
    </row>
    <row r="119" spans="1:28" hidden="1" x14ac:dyDescent="0.25">
      <c r="A119" s="77"/>
      <c r="B119" s="81"/>
      <c r="C119" s="81"/>
      <c r="D119" s="81"/>
      <c r="E119" s="73"/>
      <c r="F119" s="73"/>
      <c r="G119" s="73"/>
      <c r="H119" s="73"/>
      <c r="I119" s="73"/>
      <c r="J119" s="24"/>
      <c r="K119" s="24"/>
      <c r="L119" s="24"/>
      <c r="M119" s="24"/>
      <c r="N119" s="24"/>
      <c r="O119" s="24"/>
      <c r="P119" s="24"/>
      <c r="Q119" s="24"/>
      <c r="R119" s="24"/>
      <c r="S119" s="24"/>
      <c r="T119" s="24"/>
      <c r="U119" s="24"/>
      <c r="V119" s="24"/>
      <c r="W119" s="24"/>
      <c r="X119" s="24"/>
      <c r="Y119" s="24"/>
      <c r="Z119" s="24"/>
      <c r="AA119" s="24"/>
      <c r="AB119" s="24"/>
    </row>
    <row r="120" spans="1:28" hidden="1" x14ac:dyDescent="0.25">
      <c r="A120" s="77"/>
      <c r="B120" s="81"/>
      <c r="C120" s="81"/>
      <c r="D120" s="81"/>
      <c r="E120" s="73"/>
      <c r="F120" s="73"/>
      <c r="G120" s="73"/>
      <c r="H120" s="73"/>
      <c r="I120" s="73"/>
      <c r="J120" s="24"/>
      <c r="K120" s="24"/>
      <c r="L120" s="24"/>
      <c r="M120" s="24"/>
      <c r="N120" s="24"/>
      <c r="O120" s="24"/>
      <c r="P120" s="24"/>
      <c r="Q120" s="24"/>
      <c r="R120" s="24"/>
      <c r="S120" s="24"/>
      <c r="T120" s="24"/>
      <c r="U120" s="24"/>
      <c r="V120" s="24"/>
      <c r="W120" s="24"/>
      <c r="X120" s="24"/>
      <c r="Y120" s="24"/>
      <c r="Z120" s="24"/>
      <c r="AA120" s="24"/>
      <c r="AB120" s="24"/>
    </row>
    <row r="121" spans="1:28" ht="15.75" hidden="1" x14ac:dyDescent="0.25">
      <c r="A121" s="83"/>
      <c r="B121" s="83"/>
      <c r="C121" s="83"/>
      <c r="D121" s="83"/>
      <c r="E121" s="73"/>
      <c r="F121" s="73"/>
      <c r="G121" s="73"/>
      <c r="H121" s="73"/>
      <c r="I121" s="73"/>
      <c r="J121" s="24"/>
      <c r="K121" s="24"/>
      <c r="L121" s="24"/>
      <c r="M121" s="24"/>
      <c r="N121" s="24"/>
      <c r="O121" s="24"/>
      <c r="P121" s="24"/>
      <c r="Q121" s="24"/>
      <c r="R121" s="24"/>
      <c r="S121" s="24"/>
      <c r="T121" s="24"/>
      <c r="U121" s="24"/>
      <c r="V121" s="24"/>
      <c r="W121" s="24"/>
      <c r="X121" s="24"/>
      <c r="Y121" s="24"/>
      <c r="Z121" s="24"/>
      <c r="AA121" s="24"/>
      <c r="AB121" s="24"/>
    </row>
    <row r="122" spans="1:28" hidden="1" x14ac:dyDescent="0.25">
      <c r="A122" s="73"/>
      <c r="B122" s="73"/>
      <c r="C122" s="73"/>
      <c r="D122" s="73"/>
      <c r="E122" s="73"/>
      <c r="F122" s="73"/>
      <c r="G122" s="73"/>
      <c r="H122" s="73"/>
      <c r="I122" s="73"/>
      <c r="J122" s="24"/>
      <c r="K122" s="24"/>
      <c r="L122" s="24"/>
      <c r="M122" s="24"/>
      <c r="N122" s="24"/>
      <c r="O122" s="24"/>
      <c r="P122" s="24"/>
      <c r="Q122" s="24"/>
      <c r="R122" s="24"/>
      <c r="S122" s="24"/>
      <c r="T122" s="24"/>
      <c r="U122" s="24"/>
      <c r="V122" s="24"/>
      <c r="W122" s="24"/>
      <c r="X122" s="24"/>
      <c r="Y122" s="24"/>
      <c r="Z122" s="24"/>
      <c r="AA122" s="24"/>
      <c r="AB122" s="24"/>
    </row>
    <row r="123" spans="1:28" hidden="1" x14ac:dyDescent="0.25">
      <c r="A123" s="73"/>
      <c r="B123" s="73"/>
      <c r="C123" s="73"/>
      <c r="D123" s="73"/>
      <c r="E123" s="73"/>
      <c r="F123" s="73"/>
      <c r="G123" s="73"/>
      <c r="H123" s="73"/>
      <c r="I123" s="73"/>
      <c r="J123" s="24"/>
      <c r="K123" s="24"/>
      <c r="L123" s="24"/>
      <c r="M123" s="24"/>
      <c r="N123" s="24"/>
      <c r="O123" s="24"/>
      <c r="P123" s="24"/>
      <c r="Q123" s="24"/>
      <c r="R123" s="24"/>
      <c r="S123" s="24"/>
      <c r="T123" s="24"/>
      <c r="U123" s="24"/>
      <c r="V123" s="24"/>
      <c r="W123" s="24"/>
      <c r="X123" s="24"/>
      <c r="Y123" s="24"/>
      <c r="Z123" s="24"/>
      <c r="AA123" s="24"/>
      <c r="AB123" s="24"/>
    </row>
    <row r="124" spans="1:28" hidden="1" x14ac:dyDescent="0.25">
      <c r="A124" s="73"/>
      <c r="B124" s="73"/>
      <c r="C124" s="73"/>
      <c r="D124" s="73"/>
      <c r="E124" s="73"/>
      <c r="F124" s="73"/>
      <c r="G124" s="73"/>
      <c r="H124" s="73"/>
      <c r="I124" s="73"/>
      <c r="J124" s="24"/>
      <c r="K124" s="24"/>
      <c r="L124" s="24"/>
      <c r="M124" s="24"/>
      <c r="N124" s="24"/>
      <c r="O124" s="24"/>
      <c r="P124" s="24"/>
      <c r="Q124" s="24"/>
      <c r="R124" s="24"/>
      <c r="S124" s="24"/>
      <c r="T124" s="24"/>
      <c r="U124" s="24"/>
      <c r="V124" s="24"/>
      <c r="W124" s="24"/>
      <c r="X124" s="24"/>
      <c r="Y124" s="24"/>
      <c r="Z124" s="24"/>
      <c r="AA124" s="24"/>
      <c r="AB124" s="24"/>
    </row>
    <row r="125" spans="1:28" hidden="1" x14ac:dyDescent="0.25">
      <c r="A125" s="73"/>
      <c r="B125" s="73"/>
      <c r="C125" s="73"/>
      <c r="D125" s="73"/>
      <c r="E125" s="73"/>
      <c r="F125" s="73"/>
      <c r="G125" s="73"/>
      <c r="H125" s="73"/>
      <c r="I125" s="73"/>
      <c r="J125" s="24"/>
      <c r="K125" s="24"/>
      <c r="L125" s="24"/>
      <c r="M125" s="24"/>
      <c r="N125" s="24"/>
      <c r="O125" s="24"/>
      <c r="P125" s="24"/>
      <c r="Q125" s="24"/>
      <c r="R125" s="24"/>
      <c r="S125" s="24"/>
      <c r="T125" s="24"/>
      <c r="U125" s="24"/>
      <c r="V125" s="24"/>
      <c r="W125" s="24"/>
      <c r="X125" s="24"/>
      <c r="Y125" s="24"/>
      <c r="Z125" s="24"/>
      <c r="AA125" s="24"/>
      <c r="AB125" s="24"/>
    </row>
    <row r="126" spans="1:28" hidden="1" x14ac:dyDescent="0.25">
      <c r="A126" s="73"/>
      <c r="B126" s="73"/>
      <c r="C126" s="73"/>
      <c r="D126" s="73"/>
      <c r="E126" s="73"/>
      <c r="F126" s="73"/>
      <c r="G126" s="73"/>
      <c r="H126" s="73"/>
      <c r="I126" s="73"/>
      <c r="J126" s="24"/>
      <c r="K126" s="24"/>
      <c r="L126" s="24"/>
      <c r="M126" s="24"/>
      <c r="N126" s="24"/>
      <c r="O126" s="24"/>
      <c r="P126" s="24"/>
      <c r="Q126" s="24"/>
      <c r="R126" s="24"/>
      <c r="S126" s="24"/>
      <c r="T126" s="24"/>
      <c r="U126" s="24"/>
      <c r="V126" s="24"/>
      <c r="W126" s="24"/>
      <c r="X126" s="24"/>
      <c r="Y126" s="24"/>
      <c r="Z126" s="24"/>
      <c r="AA126" s="24"/>
      <c r="AB126" s="24"/>
    </row>
    <row r="127" spans="1:28" hidden="1" x14ac:dyDescent="0.25">
      <c r="A127" s="73"/>
      <c r="B127" s="73"/>
      <c r="C127" s="73"/>
      <c r="D127" s="73"/>
      <c r="E127" s="73"/>
      <c r="F127" s="24"/>
      <c r="G127" s="24"/>
      <c r="H127" s="24"/>
      <c r="I127" s="24"/>
      <c r="J127" s="24"/>
      <c r="K127" s="24"/>
      <c r="L127" s="24"/>
      <c r="M127" s="24"/>
      <c r="N127" s="24"/>
      <c r="O127" s="24"/>
      <c r="P127" s="24"/>
      <c r="Q127" s="24"/>
      <c r="R127" s="24"/>
      <c r="S127" s="24"/>
      <c r="T127" s="24"/>
      <c r="U127" s="24"/>
      <c r="V127" s="24"/>
      <c r="W127" s="24"/>
      <c r="X127" s="24"/>
      <c r="Y127" s="24"/>
      <c r="Z127" s="24"/>
      <c r="AA127" s="24"/>
      <c r="AB127" s="24"/>
    </row>
    <row r="128" spans="1:28" hidden="1" x14ac:dyDescent="0.25">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row>
    <row r="129" spans="1:28" hidden="1" x14ac:dyDescent="0.25">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row>
    <row r="130" spans="1:28" hidden="1" x14ac:dyDescent="0.25">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row>
    <row r="131" spans="1:28" hidden="1" x14ac:dyDescent="0.25">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row>
    <row r="132" spans="1:28" hidden="1" x14ac:dyDescent="0.25">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row>
    <row r="133" spans="1:28" hidden="1" x14ac:dyDescent="0.25">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row>
    <row r="134" spans="1:28" hidden="1" x14ac:dyDescent="0.25">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row>
    <row r="135" spans="1:28" hidden="1" x14ac:dyDescent="0.25">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row>
    <row r="136" spans="1:28" hidden="1" x14ac:dyDescent="0.25">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row>
    <row r="137" spans="1:28" hidden="1" x14ac:dyDescent="0.25">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row>
    <row r="138" spans="1:28" hidden="1" x14ac:dyDescent="0.25">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row>
    <row r="139" spans="1:28" hidden="1" x14ac:dyDescent="0.25">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row>
    <row r="140" spans="1:28" hidden="1" x14ac:dyDescent="0.25">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row>
    <row r="141" spans="1:28" hidden="1" x14ac:dyDescent="0.25">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row>
    <row r="142" spans="1:28" hidden="1" x14ac:dyDescent="0.25">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row>
    <row r="143" spans="1:28" hidden="1" x14ac:dyDescent="0.25">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row>
    <row r="144" spans="1:28" hidden="1" x14ac:dyDescent="0.25">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row>
    <row r="145" spans="1:28" hidden="1" x14ac:dyDescent="0.25">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row>
    <row r="146" spans="1:28" hidden="1" x14ac:dyDescent="0.25">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row>
    <row r="147" spans="1:28" hidden="1" x14ac:dyDescent="0.25">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row>
    <row r="148" spans="1:28" hidden="1" x14ac:dyDescent="0.2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row>
    <row r="149" spans="1:28" hidden="1" x14ac:dyDescent="0.2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row>
    <row r="150" spans="1:28" hidden="1" x14ac:dyDescent="0.25">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row>
    <row r="151" spans="1:28" hidden="1" x14ac:dyDescent="0.2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row>
    <row r="152" spans="1:28" hidden="1" x14ac:dyDescent="0.2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row>
    <row r="153" spans="1:28" hidden="1" x14ac:dyDescent="0.25">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row>
    <row r="154" spans="1:28" hidden="1" x14ac:dyDescent="0.25">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row>
    <row r="155" spans="1:28" hidden="1" x14ac:dyDescent="0.25">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row>
    <row r="156" spans="1:28" hidden="1" x14ac:dyDescent="0.25">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row>
    <row r="157" spans="1:28" hidden="1" x14ac:dyDescent="0.25">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row>
    <row r="158" spans="1:28" hidden="1" x14ac:dyDescent="0.2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row>
    <row r="159" spans="1:28" hidden="1" x14ac:dyDescent="0.25">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row>
    <row r="160" spans="1:28" hidden="1" x14ac:dyDescent="0.25">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row>
    <row r="161" spans="1:28" hidden="1" x14ac:dyDescent="0.2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row>
    <row r="162" spans="1:28" hidden="1" x14ac:dyDescent="0.2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row>
    <row r="163" spans="1:28" hidden="1" x14ac:dyDescent="0.2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row>
    <row r="164" spans="1:28" hidden="1" x14ac:dyDescent="0.25">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row>
    <row r="165" spans="1:28" hidden="1" x14ac:dyDescent="0.25">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row>
    <row r="166" spans="1:28" hidden="1" x14ac:dyDescent="0.25">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row>
    <row r="167" spans="1:28" hidden="1" x14ac:dyDescent="0.25">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row>
    <row r="168" spans="1:28" hidden="1" x14ac:dyDescent="0.25">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row>
    <row r="169" spans="1:28" hidden="1" x14ac:dyDescent="0.25">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row>
    <row r="170" spans="1:28" hidden="1" x14ac:dyDescent="0.25">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row>
    <row r="171" spans="1:28" hidden="1" x14ac:dyDescent="0.2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row>
    <row r="172" spans="1:28" hidden="1" x14ac:dyDescent="0.25">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row>
    <row r="173" spans="1:28" hidden="1" x14ac:dyDescent="0.25">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row>
    <row r="174" spans="1:28" hidden="1" x14ac:dyDescent="0.25">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row>
    <row r="175" spans="1:28" hidden="1" x14ac:dyDescent="0.2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row>
    <row r="176" spans="1:28" hidden="1" x14ac:dyDescent="0.2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row>
    <row r="177" spans="1:28" hidden="1" x14ac:dyDescent="0.25">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row>
    <row r="178" spans="1:28" hidden="1" x14ac:dyDescent="0.25">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row>
    <row r="179" spans="1:28" hidden="1" x14ac:dyDescent="0.2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row>
    <row r="180" spans="1:28" hidden="1" x14ac:dyDescent="0.2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row>
    <row r="181" spans="1:28" hidden="1" x14ac:dyDescent="0.2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row>
    <row r="182" spans="1:28" hidden="1" x14ac:dyDescent="0.2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row>
    <row r="183" spans="1:28" hidden="1" x14ac:dyDescent="0.25">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row>
    <row r="184" spans="1:28" hidden="1" x14ac:dyDescent="0.2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row>
    <row r="185" spans="1:28" hidden="1" x14ac:dyDescent="0.25">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row>
    <row r="186" spans="1:28" hidden="1" x14ac:dyDescent="0.2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row>
    <row r="187" spans="1:28" hidden="1" x14ac:dyDescent="0.2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row>
    <row r="188" spans="1:28" hidden="1" x14ac:dyDescent="0.2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row>
    <row r="189" spans="1:28" hidden="1" x14ac:dyDescent="0.25">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row>
    <row r="190" spans="1:28" hidden="1" x14ac:dyDescent="0.25">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row>
    <row r="191" spans="1:28" hidden="1" x14ac:dyDescent="0.25">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row>
    <row r="192" spans="1:28" hidden="1" x14ac:dyDescent="0.25">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row>
    <row r="193" spans="1:28" hidden="1" x14ac:dyDescent="0.25">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row>
    <row r="194" spans="1:28" hidden="1" x14ac:dyDescent="0.25">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row>
    <row r="195" spans="1:28" hidden="1" x14ac:dyDescent="0.25">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row>
    <row r="196" spans="1:28" hidden="1" x14ac:dyDescent="0.25">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row>
    <row r="197" spans="1:28" hidden="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row>
    <row r="198" spans="1:28" hidden="1" x14ac:dyDescent="0.25">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row>
    <row r="199" spans="1:28" hidden="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row>
    <row r="200" spans="1:28" hidden="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row>
    <row r="201" spans="1:28" hidden="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row>
    <row r="202" spans="1:28" hidden="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row>
    <row r="203" spans="1:28" hidden="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row>
    <row r="204" spans="1:28" hidden="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row>
    <row r="205" spans="1:28" hidden="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row>
    <row r="206" spans="1:28" hidden="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row>
    <row r="207" spans="1:28" hidden="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row>
    <row r="208" spans="1:28" hidden="1" x14ac:dyDescent="0.25">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row>
    <row r="209" spans="1:28" hidden="1" x14ac:dyDescent="0.25">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row>
    <row r="210" spans="1:28" hidden="1" x14ac:dyDescent="0.25">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row>
    <row r="211" spans="1:28" hidden="1" x14ac:dyDescent="0.25">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row>
    <row r="212" spans="1:28" hidden="1" x14ac:dyDescent="0.25">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row>
    <row r="213" spans="1:28" hidden="1" x14ac:dyDescent="0.25">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row>
    <row r="214" spans="1:28" hidden="1" x14ac:dyDescent="0.25">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row>
    <row r="215" spans="1:28" hidden="1" x14ac:dyDescent="0.25">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row>
    <row r="216" spans="1:28" hidden="1" x14ac:dyDescent="0.25">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row>
    <row r="217" spans="1:28" hidden="1" x14ac:dyDescent="0.25">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row>
    <row r="218" spans="1:28" hidden="1" x14ac:dyDescent="0.25">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row>
    <row r="219" spans="1:28" hidden="1" x14ac:dyDescent="0.25">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row>
    <row r="220" spans="1:28" ht="15.75" hidden="1" x14ac:dyDescent="0.25">
      <c r="A220" s="24"/>
      <c r="B220" s="24"/>
      <c r="C220" s="24"/>
      <c r="D220" s="24"/>
      <c r="E220" s="24"/>
      <c r="F220" s="24"/>
      <c r="G220" s="24"/>
      <c r="H220" s="24"/>
      <c r="I220" s="24"/>
      <c r="J220" s="24"/>
      <c r="K220" s="24"/>
      <c r="L220" s="24"/>
      <c r="M220" s="24"/>
      <c r="N220" s="26"/>
      <c r="O220" s="24"/>
      <c r="P220" s="24"/>
      <c r="Q220" s="24"/>
      <c r="R220" s="24"/>
      <c r="S220" s="24"/>
      <c r="T220" s="24"/>
      <c r="U220" s="24"/>
      <c r="V220" s="24"/>
      <c r="W220" s="24"/>
      <c r="X220" s="24"/>
      <c r="Y220" s="24"/>
      <c r="Z220" s="24"/>
      <c r="AA220" s="24"/>
      <c r="AB220" s="24"/>
    </row>
    <row r="221" spans="1:28" ht="15.75" hidden="1" x14ac:dyDescent="0.25">
      <c r="A221" s="24"/>
      <c r="B221" s="24"/>
      <c r="C221" s="24"/>
      <c r="D221" s="24"/>
      <c r="E221" s="24"/>
      <c r="F221" s="24"/>
      <c r="G221" s="24"/>
      <c r="H221" s="24"/>
      <c r="I221" s="24"/>
      <c r="J221" s="24"/>
      <c r="K221" s="24"/>
      <c r="L221" s="24"/>
      <c r="M221" s="24"/>
      <c r="N221" s="26"/>
      <c r="O221" s="24"/>
      <c r="P221" s="24"/>
      <c r="Q221" s="24"/>
      <c r="R221" s="24"/>
      <c r="S221" s="24"/>
      <c r="T221" s="24"/>
      <c r="U221" s="24"/>
      <c r="V221" s="24"/>
      <c r="W221" s="24"/>
      <c r="X221" s="24"/>
      <c r="Y221" s="24"/>
      <c r="Z221" s="24"/>
      <c r="AA221" s="24"/>
      <c r="AB221" s="24"/>
    </row>
    <row r="222" spans="1:28" hidden="1" x14ac:dyDescent="0.25">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row>
    <row r="223" spans="1:28" hidden="1" x14ac:dyDescent="0.25">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row>
    <row r="224" spans="1:28" hidden="1" x14ac:dyDescent="0.25">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row>
    <row r="225" spans="1:28" hidden="1" x14ac:dyDescent="0.25">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row>
    <row r="226" spans="1:28" hidden="1" x14ac:dyDescent="0.25">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row>
    <row r="227" spans="1:28" hidden="1" x14ac:dyDescent="0.25">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row>
    <row r="228" spans="1:28" hidden="1" x14ac:dyDescent="0.25">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row>
    <row r="229" spans="1:28" hidden="1" x14ac:dyDescent="0.25">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row>
    <row r="230" spans="1:28" hidden="1" x14ac:dyDescent="0.25">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row>
    <row r="231" spans="1:28" hidden="1" x14ac:dyDescent="0.25">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row>
    <row r="232" spans="1:28" hidden="1" x14ac:dyDescent="0.25">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row>
    <row r="233" spans="1:28" hidden="1" x14ac:dyDescent="0.25">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row>
    <row r="234" spans="1:28" hidden="1" x14ac:dyDescent="0.25">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row>
    <row r="235" spans="1:28" hidden="1" x14ac:dyDescent="0.25">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row>
    <row r="236" spans="1:28" hidden="1" x14ac:dyDescent="0.25">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row>
    <row r="237" spans="1:28" hidden="1" x14ac:dyDescent="0.25">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row>
    <row r="238" spans="1:28" ht="15.75" hidden="1" x14ac:dyDescent="0.25">
      <c r="A238" s="24"/>
      <c r="B238" s="24"/>
      <c r="C238" s="24"/>
      <c r="D238" s="24"/>
      <c r="E238" s="24"/>
      <c r="F238" s="26"/>
      <c r="G238" s="26"/>
      <c r="H238" s="26"/>
      <c r="I238" s="26"/>
      <c r="J238" s="24"/>
      <c r="K238" s="24"/>
      <c r="L238" s="24"/>
      <c r="M238" s="24"/>
      <c r="N238" s="24"/>
      <c r="O238" s="24"/>
      <c r="P238" s="24"/>
      <c r="Q238" s="24"/>
      <c r="R238" s="24"/>
      <c r="S238" s="24"/>
      <c r="T238" s="24"/>
      <c r="U238" s="24"/>
      <c r="V238" s="24"/>
      <c r="W238" s="24"/>
      <c r="X238" s="24"/>
      <c r="Y238" s="24"/>
      <c r="Z238" s="24"/>
      <c r="AA238" s="24"/>
      <c r="AB238" s="24"/>
    </row>
    <row r="239" spans="1:28" ht="15.75" hidden="1" x14ac:dyDescent="0.25">
      <c r="A239" s="24"/>
      <c r="B239" s="24"/>
      <c r="C239" s="24"/>
      <c r="D239" s="24"/>
      <c r="E239" s="26"/>
      <c r="F239" s="26"/>
      <c r="G239" s="26"/>
      <c r="H239" s="26"/>
      <c r="I239" s="26"/>
      <c r="J239" s="24"/>
      <c r="K239" s="24"/>
      <c r="L239" s="24"/>
      <c r="M239" s="24"/>
      <c r="N239" s="24"/>
      <c r="O239" s="24"/>
      <c r="P239" s="24"/>
      <c r="Q239" s="24"/>
      <c r="R239" s="24"/>
      <c r="S239" s="24"/>
      <c r="T239" s="24"/>
      <c r="U239" s="24"/>
      <c r="V239" s="24"/>
      <c r="W239" s="24"/>
      <c r="X239" s="24"/>
      <c r="Y239" s="24"/>
      <c r="Z239" s="24"/>
      <c r="AA239" s="24"/>
      <c r="AB239" s="24"/>
    </row>
    <row r="240" spans="1:28" ht="15.75" hidden="1" x14ac:dyDescent="0.25">
      <c r="A240" s="24"/>
      <c r="B240" s="24"/>
      <c r="C240" s="24"/>
      <c r="D240" s="24"/>
      <c r="E240" s="26"/>
      <c r="F240" s="26"/>
      <c r="G240" s="26"/>
      <c r="H240" s="26"/>
      <c r="I240" s="26"/>
      <c r="J240" s="24"/>
      <c r="K240" s="24"/>
      <c r="L240" s="24"/>
      <c r="M240" s="24"/>
      <c r="N240" s="24"/>
      <c r="O240" s="24"/>
      <c r="P240" s="24"/>
      <c r="Q240" s="24"/>
      <c r="R240" s="24"/>
      <c r="S240" s="24"/>
      <c r="T240" s="24"/>
      <c r="U240" s="24"/>
      <c r="V240" s="24"/>
      <c r="W240" s="24"/>
      <c r="X240" s="24"/>
      <c r="Y240" s="24"/>
      <c r="Z240" s="24"/>
      <c r="AA240" s="24"/>
      <c r="AB240" s="24"/>
    </row>
    <row r="241" spans="1:28" ht="15.75" hidden="1" x14ac:dyDescent="0.25">
      <c r="A241" s="24"/>
      <c r="B241" s="24"/>
      <c r="C241" s="24"/>
      <c r="D241" s="24"/>
      <c r="E241" s="26"/>
      <c r="F241" s="28"/>
      <c r="G241" s="26"/>
      <c r="H241" s="26"/>
      <c r="I241" s="26"/>
      <c r="J241" s="24"/>
      <c r="K241" s="24"/>
      <c r="L241" s="24"/>
      <c r="M241" s="24"/>
      <c r="N241" s="24"/>
      <c r="O241" s="24"/>
      <c r="P241" s="24"/>
      <c r="Q241" s="24"/>
      <c r="R241" s="24"/>
      <c r="S241" s="24"/>
      <c r="T241" s="24"/>
      <c r="U241" s="24"/>
      <c r="V241" s="24"/>
      <c r="W241" s="24"/>
      <c r="X241" s="24"/>
      <c r="Y241" s="24"/>
      <c r="Z241" s="24"/>
      <c r="AA241" s="24"/>
      <c r="AB241" s="24"/>
    </row>
    <row r="242" spans="1:28" ht="15.75" hidden="1" x14ac:dyDescent="0.25">
      <c r="A242" s="24"/>
      <c r="B242" s="24"/>
      <c r="C242" s="24"/>
      <c r="D242" s="24"/>
      <c r="E242" s="29"/>
      <c r="F242" s="26"/>
      <c r="G242" s="26"/>
      <c r="H242" s="26"/>
      <c r="I242" s="26"/>
      <c r="J242" s="24"/>
      <c r="K242" s="24"/>
      <c r="L242" s="24"/>
      <c r="M242" s="24"/>
      <c r="N242" s="24"/>
      <c r="O242" s="24"/>
      <c r="P242" s="24"/>
      <c r="Q242" s="24"/>
      <c r="R242" s="24"/>
      <c r="S242" s="24"/>
      <c r="T242" s="24"/>
      <c r="U242" s="24"/>
      <c r="V242" s="24"/>
      <c r="W242" s="24"/>
      <c r="X242" s="24"/>
      <c r="Y242" s="24"/>
      <c r="Z242" s="24"/>
      <c r="AA242" s="24"/>
      <c r="AB242" s="24"/>
    </row>
    <row r="243" spans="1:28" ht="15.75" hidden="1" x14ac:dyDescent="0.25">
      <c r="A243" s="24"/>
      <c r="B243" s="24"/>
      <c r="C243" s="24"/>
      <c r="D243" s="24"/>
      <c r="E243" s="25"/>
      <c r="F243" s="26"/>
      <c r="G243" s="26"/>
      <c r="H243" s="26"/>
      <c r="I243" s="26"/>
      <c r="J243" s="24"/>
      <c r="K243" s="24"/>
      <c r="L243" s="24"/>
      <c r="M243" s="24"/>
      <c r="N243" s="24"/>
      <c r="O243" s="24"/>
      <c r="P243" s="24"/>
      <c r="Q243" s="24"/>
      <c r="R243" s="24"/>
      <c r="S243" s="24"/>
      <c r="T243" s="24"/>
      <c r="U243" s="24"/>
      <c r="V243" s="24"/>
      <c r="W243" s="24"/>
      <c r="X243" s="24"/>
      <c r="Y243" s="24"/>
      <c r="Z243" s="24"/>
      <c r="AA243" s="24"/>
      <c r="AB243" s="24"/>
    </row>
    <row r="244" spans="1:28" ht="15.75" hidden="1" x14ac:dyDescent="0.25">
      <c r="A244" s="24"/>
      <c r="B244" s="24"/>
      <c r="C244" s="24"/>
      <c r="D244" s="24"/>
      <c r="E244" s="26"/>
      <c r="F244" s="26"/>
      <c r="G244" s="26"/>
      <c r="H244" s="26"/>
      <c r="I244" s="26"/>
      <c r="J244" s="24"/>
      <c r="K244" s="24"/>
      <c r="L244" s="24"/>
      <c r="M244" s="24"/>
      <c r="N244" s="24"/>
      <c r="O244" s="24"/>
      <c r="P244" s="24"/>
      <c r="Q244" s="24"/>
      <c r="R244" s="24"/>
      <c r="S244" s="24"/>
      <c r="T244" s="24"/>
      <c r="U244" s="24"/>
      <c r="V244" s="24"/>
      <c r="W244" s="24"/>
      <c r="X244" s="24"/>
      <c r="Y244" s="24"/>
      <c r="Z244" s="24"/>
      <c r="AA244" s="24"/>
      <c r="AB244" s="24"/>
    </row>
    <row r="245" spans="1:28" ht="15.75" hidden="1" x14ac:dyDescent="0.25">
      <c r="A245" s="24"/>
      <c r="B245" s="24"/>
      <c r="C245" s="24"/>
      <c r="D245" s="24"/>
      <c r="E245" s="26"/>
      <c r="F245" s="26"/>
      <c r="G245" s="26"/>
      <c r="H245" s="26"/>
      <c r="I245" s="26"/>
      <c r="J245" s="24"/>
      <c r="K245" s="24"/>
      <c r="L245" s="24"/>
      <c r="M245" s="24"/>
      <c r="N245" s="24"/>
      <c r="O245" s="24"/>
      <c r="P245" s="24"/>
      <c r="Q245" s="24"/>
      <c r="R245" s="24"/>
      <c r="S245" s="24"/>
      <c r="T245" s="24"/>
      <c r="U245" s="24"/>
      <c r="V245" s="24"/>
      <c r="W245" s="24"/>
      <c r="X245" s="24"/>
      <c r="Y245" s="24"/>
      <c r="Z245" s="24"/>
      <c r="AA245" s="24"/>
      <c r="AB245" s="24"/>
    </row>
    <row r="246" spans="1:28" ht="15.75" hidden="1" x14ac:dyDescent="0.25">
      <c r="A246" s="24"/>
      <c r="B246" s="24"/>
      <c r="C246" s="24"/>
      <c r="D246" s="24"/>
      <c r="E246" s="26"/>
      <c r="F246" s="28"/>
      <c r="G246" s="24"/>
      <c r="H246" s="24"/>
      <c r="I246" s="24"/>
      <c r="J246" s="24"/>
      <c r="K246" s="24"/>
      <c r="L246" s="24"/>
      <c r="M246" s="24"/>
      <c r="N246" s="24"/>
      <c r="O246" s="24"/>
      <c r="P246" s="24"/>
      <c r="Q246" s="24"/>
      <c r="R246" s="24"/>
      <c r="S246" s="24"/>
      <c r="T246" s="24"/>
      <c r="U246" s="24"/>
      <c r="V246" s="24"/>
      <c r="W246" s="24"/>
      <c r="X246" s="24"/>
      <c r="Y246" s="24"/>
      <c r="Z246" s="24"/>
      <c r="AA246" s="24"/>
      <c r="AB246" s="24"/>
    </row>
    <row r="247" spans="1:28" ht="15.75" hidden="1" x14ac:dyDescent="0.25">
      <c r="A247" s="24"/>
      <c r="B247" s="24"/>
      <c r="C247" s="24"/>
      <c r="D247" s="24"/>
      <c r="E247" s="26"/>
      <c r="F247" s="26"/>
      <c r="G247" s="24"/>
      <c r="H247" s="24"/>
      <c r="I247" s="24"/>
      <c r="J247" s="24"/>
      <c r="K247" s="24"/>
      <c r="L247" s="24"/>
      <c r="M247" s="24"/>
      <c r="N247" s="24"/>
      <c r="O247" s="24"/>
      <c r="P247" s="24"/>
      <c r="Q247" s="24"/>
      <c r="R247" s="24"/>
      <c r="S247" s="24"/>
      <c r="T247" s="24"/>
      <c r="U247" s="24"/>
      <c r="V247" s="24"/>
      <c r="W247" s="24"/>
      <c r="X247" s="24"/>
      <c r="Y247" s="24"/>
      <c r="Z247" s="24"/>
      <c r="AA247" s="24"/>
      <c r="AB247" s="24"/>
    </row>
    <row r="248" spans="1:28" ht="15.75" hidden="1" x14ac:dyDescent="0.25">
      <c r="A248" s="24"/>
      <c r="B248" s="24"/>
      <c r="C248" s="24"/>
      <c r="D248" s="24"/>
      <c r="E248" s="26"/>
      <c r="F248" s="26"/>
      <c r="G248" s="24"/>
      <c r="H248" s="24"/>
      <c r="I248" s="24"/>
      <c r="J248" s="24"/>
      <c r="K248" s="24"/>
      <c r="L248" s="24"/>
      <c r="M248" s="24"/>
      <c r="N248" s="24"/>
      <c r="O248" s="24"/>
      <c r="P248" s="24"/>
      <c r="Q248" s="24"/>
      <c r="R248" s="24"/>
      <c r="S248" s="24"/>
      <c r="T248" s="24"/>
      <c r="U248" s="24"/>
      <c r="V248" s="24"/>
      <c r="W248" s="24"/>
      <c r="X248" s="24"/>
      <c r="Y248" s="24"/>
      <c r="Z248" s="24"/>
      <c r="AA248" s="24"/>
      <c r="AB248" s="24"/>
    </row>
    <row r="249" spans="1:28" ht="15.75" hidden="1" x14ac:dyDescent="0.25">
      <c r="A249" s="24"/>
      <c r="B249" s="24"/>
      <c r="C249" s="24"/>
      <c r="D249" s="24"/>
      <c r="E249" s="26"/>
      <c r="F249" s="26"/>
      <c r="G249" s="24"/>
      <c r="H249" s="24"/>
      <c r="I249" s="24"/>
      <c r="J249" s="24"/>
      <c r="K249" s="24"/>
      <c r="L249" s="24"/>
      <c r="M249" s="24"/>
      <c r="N249" s="24"/>
      <c r="O249" s="24"/>
      <c r="P249" s="24"/>
      <c r="Q249" s="24"/>
      <c r="R249" s="24"/>
      <c r="S249" s="24"/>
      <c r="T249" s="24"/>
      <c r="U249" s="24"/>
      <c r="V249" s="24"/>
      <c r="W249" s="24"/>
      <c r="X249" s="24"/>
      <c r="Y249" s="24"/>
      <c r="Z249" s="24"/>
      <c r="AA249" s="24"/>
      <c r="AB249" s="24"/>
    </row>
    <row r="250" spans="1:28" ht="15.75" hidden="1" x14ac:dyDescent="0.25">
      <c r="A250" s="24"/>
      <c r="B250" s="24"/>
      <c r="C250" s="24"/>
      <c r="D250" s="24"/>
      <c r="E250" s="26"/>
      <c r="F250" s="26"/>
      <c r="G250" s="24"/>
      <c r="H250" s="24"/>
      <c r="I250" s="24"/>
      <c r="J250" s="24"/>
      <c r="K250" s="24"/>
      <c r="L250" s="24"/>
      <c r="M250" s="24"/>
      <c r="N250" s="24"/>
      <c r="O250" s="24"/>
      <c r="P250" s="24"/>
      <c r="Q250" s="24"/>
      <c r="R250" s="24"/>
      <c r="S250" s="24"/>
      <c r="T250" s="24"/>
      <c r="U250" s="24"/>
      <c r="V250" s="24"/>
      <c r="W250" s="24"/>
      <c r="X250" s="24"/>
      <c r="Y250" s="24"/>
      <c r="Z250" s="24"/>
      <c r="AA250" s="24"/>
      <c r="AB250" s="24"/>
    </row>
    <row r="251" spans="1:28" ht="15.75" hidden="1" x14ac:dyDescent="0.25">
      <c r="A251" s="24"/>
      <c r="B251" s="24"/>
      <c r="C251" s="24"/>
      <c r="D251" s="24"/>
      <c r="E251" s="27"/>
      <c r="F251" s="26"/>
      <c r="G251" s="24"/>
      <c r="H251" s="24"/>
      <c r="I251" s="24"/>
      <c r="J251" s="24"/>
      <c r="K251" s="24"/>
      <c r="L251" s="24"/>
      <c r="M251" s="24"/>
      <c r="N251" s="24"/>
      <c r="O251" s="24"/>
      <c r="P251" s="24"/>
      <c r="Q251" s="24"/>
      <c r="R251" s="24"/>
      <c r="S251" s="24"/>
      <c r="T251" s="24"/>
      <c r="U251" s="24"/>
      <c r="V251" s="24"/>
      <c r="W251" s="24"/>
      <c r="X251" s="24"/>
      <c r="Y251" s="24"/>
      <c r="Z251" s="24"/>
      <c r="AA251" s="24"/>
      <c r="AB251" s="24"/>
    </row>
    <row r="252" spans="1:28" hidden="1" x14ac:dyDescent="0.25">
      <c r="A252" s="27"/>
      <c r="B252" s="27"/>
      <c r="C252" s="27"/>
      <c r="D252" s="27"/>
      <c r="E252" s="27"/>
      <c r="F252" s="24"/>
      <c r="G252" s="24"/>
      <c r="H252" s="24"/>
      <c r="I252" s="24"/>
      <c r="J252" s="24"/>
      <c r="K252" s="24"/>
      <c r="L252" s="24"/>
      <c r="M252" s="24"/>
      <c r="N252" s="24"/>
      <c r="O252" s="24"/>
      <c r="P252" s="24"/>
      <c r="Q252" s="24"/>
      <c r="R252" s="24"/>
      <c r="S252" s="24"/>
      <c r="T252" s="24"/>
      <c r="U252" s="24"/>
      <c r="V252" s="24"/>
      <c r="W252" s="24"/>
      <c r="X252" s="24"/>
      <c r="Y252" s="24"/>
      <c r="Z252" s="24"/>
      <c r="AA252" s="24"/>
      <c r="AB252" s="24"/>
    </row>
    <row r="253" spans="1:28" hidden="1" x14ac:dyDescent="0.25">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row>
    <row r="254" spans="1:28" hidden="1" x14ac:dyDescent="0.25">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row>
    <row r="255" spans="1:28" hidden="1" x14ac:dyDescent="0.25">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row>
    <row r="256" spans="1:28" hidden="1" x14ac:dyDescent="0.25">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row>
    <row r="257" spans="1:28" hidden="1" x14ac:dyDescent="0.25">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row>
    <row r="258" spans="1:28" hidden="1" x14ac:dyDescent="0.25">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row>
    <row r="259" spans="1:28" hidden="1" x14ac:dyDescent="0.25">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row>
    <row r="260" spans="1:28" hidden="1" x14ac:dyDescent="0.25">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row>
    <row r="261" spans="1:28" hidden="1" x14ac:dyDescent="0.25">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row>
    <row r="262" spans="1:28" hidden="1" x14ac:dyDescent="0.25">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row>
    <row r="263" spans="1:28" hidden="1" x14ac:dyDescent="0.25">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row>
    <row r="264" spans="1:28" hidden="1" x14ac:dyDescent="0.25">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row>
    <row r="265" spans="1:28" hidden="1" x14ac:dyDescent="0.25">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row>
    <row r="266" spans="1:28" hidden="1" x14ac:dyDescent="0.25">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row>
    <row r="267" spans="1:28" hidden="1" x14ac:dyDescent="0.25">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row>
    <row r="268" spans="1:28" hidden="1" x14ac:dyDescent="0.25">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row>
    <row r="269" spans="1:28" hidden="1" x14ac:dyDescent="0.25">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row>
    <row r="270" spans="1:28" hidden="1" x14ac:dyDescent="0.25">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row>
    <row r="271" spans="1:28" hidden="1" x14ac:dyDescent="0.25">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row>
    <row r="272" spans="1:28" hidden="1" x14ac:dyDescent="0.25">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row>
    <row r="273" spans="1:28" hidden="1" x14ac:dyDescent="0.25">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row>
    <row r="274" spans="1:28" hidden="1" x14ac:dyDescent="0.25">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row>
    <row r="275" spans="1:28" hidden="1" x14ac:dyDescent="0.25">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row>
    <row r="276" spans="1:28" hidden="1" x14ac:dyDescent="0.25">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row>
    <row r="277" spans="1:28" hidden="1" x14ac:dyDescent="0.25">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row>
    <row r="278" spans="1:28" hidden="1" x14ac:dyDescent="0.25">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row>
    <row r="279" spans="1:28" hidden="1" x14ac:dyDescent="0.25">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row>
    <row r="280" spans="1:28" hidden="1" x14ac:dyDescent="0.25">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row>
    <row r="281" spans="1:28" hidden="1" x14ac:dyDescent="0.25">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row>
    <row r="282" spans="1:28" hidden="1" x14ac:dyDescent="0.25">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row>
    <row r="283" spans="1:28" hidden="1" x14ac:dyDescent="0.25">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row>
    <row r="284" spans="1:28" hidden="1" x14ac:dyDescent="0.25">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row>
    <row r="285" spans="1:28" hidden="1" x14ac:dyDescent="0.25">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row>
    <row r="286" spans="1:28" hidden="1" x14ac:dyDescent="0.25">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row>
    <row r="287" spans="1:28" hidden="1" x14ac:dyDescent="0.25">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row>
    <row r="288" spans="1:28" hidden="1" x14ac:dyDescent="0.25">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row>
    <row r="289" spans="1:28" hidden="1" x14ac:dyDescent="0.25">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row>
    <row r="290" spans="1:28" hidden="1" x14ac:dyDescent="0.25">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row>
    <row r="291" spans="1:28" hidden="1" x14ac:dyDescent="0.25">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row>
    <row r="292" spans="1:28" hidden="1" x14ac:dyDescent="0.25">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row>
    <row r="293" spans="1:28" hidden="1" x14ac:dyDescent="0.25">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row>
    <row r="294" spans="1:28" hidden="1" x14ac:dyDescent="0.25">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row>
    <row r="295" spans="1:28" hidden="1" x14ac:dyDescent="0.25">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row>
    <row r="296" spans="1:28" ht="15.75" hidden="1" x14ac:dyDescent="0.25">
      <c r="A296" s="24"/>
      <c r="B296" s="24"/>
      <c r="C296" s="24"/>
      <c r="D296" s="24"/>
      <c r="E296" s="24"/>
      <c r="F296" s="24"/>
      <c r="G296" s="26"/>
      <c r="H296" s="28"/>
      <c r="I296" s="26"/>
      <c r="J296" s="24"/>
      <c r="K296" s="24"/>
      <c r="L296" s="24"/>
      <c r="M296" s="24"/>
      <c r="N296" s="24"/>
      <c r="O296" s="24"/>
      <c r="P296" s="24"/>
      <c r="Q296" s="24"/>
      <c r="R296" s="24"/>
      <c r="S296" s="24"/>
      <c r="T296" s="24"/>
      <c r="U296" s="24"/>
      <c r="V296" s="24"/>
      <c r="W296" s="24"/>
      <c r="X296" s="24"/>
      <c r="Y296" s="24"/>
      <c r="Z296" s="24"/>
      <c r="AA296" s="24"/>
      <c r="AB296" s="24"/>
    </row>
    <row r="297" spans="1:28" ht="15.75" hidden="1" x14ac:dyDescent="0.25">
      <c r="A297" s="30"/>
      <c r="B297" s="30"/>
      <c r="C297" s="30"/>
      <c r="D297" s="30"/>
      <c r="E297" s="24"/>
      <c r="F297" s="24"/>
      <c r="G297" s="26"/>
      <c r="H297" s="28"/>
      <c r="I297" s="26"/>
      <c r="J297" s="24"/>
      <c r="K297" s="24"/>
      <c r="L297" s="24"/>
      <c r="M297" s="24"/>
      <c r="N297" s="24"/>
      <c r="O297" s="24"/>
      <c r="P297" s="24"/>
      <c r="Q297" s="24"/>
      <c r="R297" s="24"/>
      <c r="S297" s="24"/>
      <c r="T297" s="24"/>
      <c r="U297" s="24"/>
      <c r="V297" s="24"/>
      <c r="W297" s="24"/>
      <c r="X297" s="24"/>
      <c r="Y297" s="24"/>
      <c r="Z297" s="24"/>
      <c r="AA297" s="24"/>
      <c r="AB297" s="24"/>
    </row>
    <row r="298" spans="1:28" hidden="1" x14ac:dyDescent="0.25">
      <c r="A298" s="30"/>
      <c r="B298" s="31"/>
      <c r="C298" s="30"/>
      <c r="D298" s="30"/>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row>
    <row r="299" spans="1:28" hidden="1" x14ac:dyDescent="0.25">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row>
    <row r="300" spans="1:28" hidden="1" x14ac:dyDescent="0.25">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row>
    <row r="301" spans="1:28" hidden="1" x14ac:dyDescent="0.25">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row>
    <row r="302" spans="1:28" hidden="1" x14ac:dyDescent="0.25">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row>
    <row r="303" spans="1:28" hidden="1" x14ac:dyDescent="0.25">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row>
    <row r="304" spans="1:28" hidden="1" x14ac:dyDescent="0.25">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row>
    <row r="305" spans="1:28" hidden="1" x14ac:dyDescent="0.25">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row>
    <row r="306" spans="1:28" hidden="1" x14ac:dyDescent="0.25">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row>
    <row r="307" spans="1:28" hidden="1" x14ac:dyDescent="0.25">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row>
    <row r="308" spans="1:28" hidden="1" x14ac:dyDescent="0.25">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row>
    <row r="309" spans="1:28" hidden="1" x14ac:dyDescent="0.25">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row>
    <row r="310" spans="1:28" hidden="1" x14ac:dyDescent="0.25">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row>
    <row r="311" spans="1:28" hidden="1" x14ac:dyDescent="0.25">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row>
    <row r="312" spans="1:28" hidden="1" x14ac:dyDescent="0.25">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row>
    <row r="313" spans="1:28" hidden="1" x14ac:dyDescent="0.25">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row>
    <row r="314" spans="1:28" hidden="1" x14ac:dyDescent="0.25">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row>
    <row r="315" spans="1:28" hidden="1" x14ac:dyDescent="0.25">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row>
    <row r="316" spans="1:28" hidden="1" x14ac:dyDescent="0.25">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row>
    <row r="317" spans="1:28" hidden="1" x14ac:dyDescent="0.25">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row>
    <row r="318" spans="1:28" hidden="1" x14ac:dyDescent="0.25">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row>
    <row r="319" spans="1:28" hidden="1" x14ac:dyDescent="0.25">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row>
    <row r="320" spans="1:28" hidden="1" x14ac:dyDescent="0.25">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row>
    <row r="321" spans="1:28" hidden="1" x14ac:dyDescent="0.25">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row>
    <row r="322" spans="1:28" hidden="1" x14ac:dyDescent="0.25">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row>
    <row r="323" spans="1:28" hidden="1" x14ac:dyDescent="0.25">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row>
    <row r="324" spans="1:28" hidden="1" x14ac:dyDescent="0.25">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row>
    <row r="325" spans="1:28" hidden="1" x14ac:dyDescent="0.25">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row>
    <row r="326" spans="1:28" hidden="1" x14ac:dyDescent="0.25">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row>
    <row r="327" spans="1:28" hidden="1" x14ac:dyDescent="0.25">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row>
    <row r="328" spans="1:28" hidden="1" x14ac:dyDescent="0.25">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row>
    <row r="329" spans="1:28" hidden="1" x14ac:dyDescent="0.25">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row>
    <row r="330" spans="1:28" hidden="1" x14ac:dyDescent="0.25">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row>
    <row r="331" spans="1:28" hidden="1" x14ac:dyDescent="0.25">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row>
    <row r="332" spans="1:28" hidden="1" x14ac:dyDescent="0.25">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row>
    <row r="333" spans="1:28" hidden="1" x14ac:dyDescent="0.25">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row>
    <row r="334" spans="1:28" hidden="1" x14ac:dyDescent="0.25">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row>
    <row r="335" spans="1:28" hidden="1" x14ac:dyDescent="0.25">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row>
    <row r="336" spans="1:28" hidden="1" x14ac:dyDescent="0.25">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row>
    <row r="337" spans="1:28" hidden="1" x14ac:dyDescent="0.25">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row>
    <row r="338" spans="1:28" hidden="1" x14ac:dyDescent="0.25">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row>
    <row r="339" spans="1:28" hidden="1" x14ac:dyDescent="0.25">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row>
    <row r="340" spans="1:28" hidden="1" x14ac:dyDescent="0.25">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row>
    <row r="341" spans="1:28" hidden="1" x14ac:dyDescent="0.25">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row>
    <row r="342" spans="1:28" hidden="1" x14ac:dyDescent="0.25">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row>
    <row r="343" spans="1:28" hidden="1" x14ac:dyDescent="0.25">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row>
    <row r="344" spans="1:28" hidden="1" x14ac:dyDescent="0.25">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row>
    <row r="345" spans="1:28" hidden="1" x14ac:dyDescent="0.25">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row>
    <row r="346" spans="1:28" hidden="1" x14ac:dyDescent="0.25">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row>
    <row r="347" spans="1:28" hidden="1" x14ac:dyDescent="0.25">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row>
    <row r="348" spans="1:28" hidden="1" x14ac:dyDescent="0.25">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row>
    <row r="349" spans="1:28" hidden="1" x14ac:dyDescent="0.25">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row>
    <row r="350" spans="1:28" hidden="1" x14ac:dyDescent="0.25">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row>
    <row r="351" spans="1:28" hidden="1" x14ac:dyDescent="0.25">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row>
    <row r="352" spans="1:28" hidden="1" x14ac:dyDescent="0.25">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row>
    <row r="353" spans="1:28" hidden="1" x14ac:dyDescent="0.25">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row>
    <row r="354" spans="1:28" hidden="1" x14ac:dyDescent="0.25">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row>
    <row r="355" spans="1:28" hidden="1" x14ac:dyDescent="0.25">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row>
    <row r="356" spans="1:28" hidden="1" x14ac:dyDescent="0.25">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row>
    <row r="357" spans="1:28" hidden="1" x14ac:dyDescent="0.25">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row>
    <row r="358" spans="1:28" hidden="1" x14ac:dyDescent="0.25">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row>
    <row r="359" spans="1:28" hidden="1" x14ac:dyDescent="0.25">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row>
    <row r="360" spans="1:28" hidden="1" x14ac:dyDescent="0.25">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row>
    <row r="361" spans="1:28" hidden="1" x14ac:dyDescent="0.25">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row>
    <row r="362" spans="1:28" hidden="1" x14ac:dyDescent="0.25">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row>
    <row r="363" spans="1:28" hidden="1" x14ac:dyDescent="0.25">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row>
    <row r="364" spans="1:28" hidden="1" x14ac:dyDescent="0.25">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row>
    <row r="365" spans="1:28" hidden="1" x14ac:dyDescent="0.25">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row>
    <row r="366" spans="1:28" hidden="1" x14ac:dyDescent="0.25">
      <c r="A366" s="24"/>
      <c r="B366" s="24"/>
      <c r="C366" s="24"/>
      <c r="D366" s="24"/>
      <c r="E366" s="24"/>
      <c r="J366" s="24"/>
      <c r="K366" s="24"/>
      <c r="L366" s="24"/>
      <c r="M366" s="24"/>
      <c r="N366" s="24"/>
      <c r="O366" s="24"/>
      <c r="P366" s="24"/>
      <c r="Q366" s="24"/>
      <c r="R366" s="24"/>
      <c r="S366" s="24"/>
      <c r="T366" s="24"/>
      <c r="U366" s="24"/>
      <c r="V366" s="24"/>
      <c r="W366" s="24"/>
      <c r="X366" s="24"/>
      <c r="Y366" s="24"/>
      <c r="Z366" s="24"/>
      <c r="AA366" s="24"/>
      <c r="AB366" s="24"/>
    </row>
    <row r="367" spans="1:28" hidden="1" x14ac:dyDescent="0.25">
      <c r="J367" s="24"/>
      <c r="K367" s="24"/>
      <c r="L367" s="24"/>
      <c r="M367" s="24"/>
      <c r="N367" s="24"/>
      <c r="O367" s="24"/>
      <c r="P367" s="24"/>
      <c r="Q367" s="24"/>
      <c r="R367" s="24"/>
      <c r="S367" s="24"/>
      <c r="T367" s="24"/>
      <c r="U367" s="24"/>
      <c r="V367" s="24"/>
      <c r="W367" s="24"/>
      <c r="X367" s="24"/>
      <c r="Y367" s="24"/>
      <c r="Z367" s="24"/>
      <c r="AA367" s="24"/>
      <c r="AB367" s="24"/>
    </row>
    <row r="368" spans="1:28" hidden="1" x14ac:dyDescent="0.25">
      <c r="J368" s="24"/>
      <c r="K368" s="24"/>
      <c r="L368" s="24"/>
      <c r="M368" s="24"/>
      <c r="N368" s="24"/>
      <c r="O368" s="24"/>
      <c r="P368" s="24"/>
      <c r="Q368" s="24"/>
      <c r="R368" s="24"/>
      <c r="S368" s="24"/>
      <c r="T368" s="24"/>
      <c r="U368" s="24"/>
      <c r="V368" s="24"/>
      <c r="W368" s="24"/>
      <c r="X368" s="24"/>
      <c r="Y368" s="24"/>
      <c r="Z368" s="24"/>
      <c r="AA368" s="24"/>
      <c r="AB368" s="24"/>
    </row>
    <row r="369" spans="10:28" hidden="1" x14ac:dyDescent="0.25">
      <c r="J369" s="24"/>
      <c r="K369" s="24"/>
      <c r="L369" s="24"/>
      <c r="M369" s="24"/>
      <c r="N369" s="24"/>
      <c r="O369" s="24"/>
      <c r="P369" s="24"/>
      <c r="Q369" s="24"/>
      <c r="R369" s="24"/>
      <c r="S369" s="24"/>
      <c r="T369" s="24"/>
      <c r="U369" s="24"/>
      <c r="V369" s="24"/>
      <c r="W369" s="24"/>
      <c r="X369" s="24"/>
      <c r="Y369" s="24"/>
      <c r="Z369" s="24"/>
      <c r="AA369" s="24"/>
      <c r="AB369" s="24"/>
    </row>
    <row r="370" spans="10:28" hidden="1" x14ac:dyDescent="0.25">
      <c r="J370" s="24"/>
      <c r="K370" s="24"/>
      <c r="L370" s="24"/>
      <c r="M370" s="24"/>
      <c r="N370" s="24"/>
      <c r="O370" s="24"/>
      <c r="P370" s="24"/>
      <c r="Q370" s="24"/>
      <c r="R370" s="24"/>
      <c r="S370" s="24"/>
      <c r="T370" s="24"/>
      <c r="U370" s="24"/>
      <c r="V370" s="24"/>
      <c r="W370" s="24"/>
      <c r="X370" s="24"/>
      <c r="Y370" s="24"/>
      <c r="Z370" s="24"/>
      <c r="AA370" s="24"/>
      <c r="AB370" s="24"/>
    </row>
    <row r="371" spans="10:28" hidden="1" x14ac:dyDescent="0.25">
      <c r="J371" s="24"/>
      <c r="K371" s="24"/>
      <c r="L371" s="24"/>
      <c r="M371" s="24"/>
      <c r="N371" s="24"/>
      <c r="O371" s="24"/>
      <c r="P371" s="24"/>
      <c r="Q371" s="24"/>
      <c r="R371" s="24"/>
      <c r="S371" s="24"/>
      <c r="T371" s="24"/>
      <c r="U371" s="24"/>
      <c r="V371" s="24"/>
      <c r="W371" s="24"/>
      <c r="X371" s="24"/>
      <c r="Y371" s="24"/>
      <c r="Z371" s="24"/>
      <c r="AA371" s="24"/>
      <c r="AB371" s="24"/>
    </row>
    <row r="372" spans="10:28" hidden="1" x14ac:dyDescent="0.25">
      <c r="J372" s="24"/>
      <c r="K372" s="24"/>
      <c r="L372" s="24"/>
      <c r="M372" s="24"/>
      <c r="N372" s="24"/>
      <c r="O372" s="24"/>
      <c r="P372" s="24"/>
      <c r="Q372" s="24"/>
      <c r="R372" s="24"/>
      <c r="S372" s="24"/>
      <c r="T372" s="24"/>
      <c r="U372" s="24"/>
      <c r="V372" s="24"/>
      <c r="W372" s="24"/>
      <c r="X372" s="24"/>
      <c r="Y372" s="24"/>
      <c r="Z372" s="24"/>
      <c r="AA372" s="24"/>
      <c r="AB372" s="24"/>
    </row>
    <row r="373" spans="10:28" hidden="1" x14ac:dyDescent="0.25">
      <c r="J373" s="24"/>
      <c r="K373" s="24"/>
      <c r="L373" s="24"/>
      <c r="M373" s="24"/>
      <c r="N373" s="24"/>
      <c r="O373" s="24"/>
      <c r="P373" s="24"/>
      <c r="Q373" s="24"/>
      <c r="R373" s="24"/>
      <c r="S373" s="24"/>
      <c r="T373" s="24"/>
      <c r="U373" s="24"/>
      <c r="V373" s="24"/>
      <c r="W373" s="24"/>
      <c r="X373" s="24"/>
      <c r="Y373" s="24"/>
      <c r="Z373" s="24"/>
      <c r="AA373" s="24"/>
      <c r="AB373" s="24"/>
    </row>
    <row r="374" spans="10:28" hidden="1" x14ac:dyDescent="0.25">
      <c r="J374" s="24"/>
      <c r="K374" s="24"/>
      <c r="L374" s="24"/>
      <c r="M374" s="24"/>
      <c r="N374" s="24"/>
      <c r="O374" s="24"/>
      <c r="P374" s="24"/>
      <c r="Q374" s="24"/>
      <c r="R374" s="24"/>
      <c r="S374" s="24"/>
      <c r="T374" s="24"/>
      <c r="U374" s="24"/>
      <c r="V374" s="24"/>
      <c r="W374" s="24"/>
      <c r="X374" s="24"/>
      <c r="Y374" s="24"/>
      <c r="Z374" s="24"/>
      <c r="AA374" s="24"/>
      <c r="AB374" s="24"/>
    </row>
    <row r="375" spans="10:28" hidden="1" x14ac:dyDescent="0.25">
      <c r="J375" s="24"/>
      <c r="K375" s="24"/>
      <c r="L375" s="24"/>
      <c r="M375" s="24"/>
      <c r="N375" s="24"/>
      <c r="O375" s="24"/>
      <c r="P375" s="24"/>
      <c r="Q375" s="24"/>
      <c r="R375" s="24"/>
      <c r="S375" s="24"/>
      <c r="T375" s="24"/>
      <c r="U375" s="24"/>
      <c r="V375" s="24"/>
      <c r="W375" s="24"/>
      <c r="X375" s="24"/>
      <c r="Y375" s="24"/>
      <c r="Z375" s="24"/>
      <c r="AA375" s="24"/>
      <c r="AB375" s="24"/>
    </row>
    <row r="376" spans="10:28" hidden="1" x14ac:dyDescent="0.25">
      <c r="J376" s="24"/>
      <c r="K376" s="24"/>
      <c r="L376" s="24"/>
      <c r="M376" s="24"/>
      <c r="N376" s="24"/>
      <c r="O376" s="24"/>
      <c r="P376" s="24"/>
      <c r="Q376" s="24"/>
      <c r="R376" s="24"/>
      <c r="S376" s="24"/>
      <c r="T376" s="24"/>
      <c r="U376" s="24"/>
      <c r="V376" s="24"/>
      <c r="W376" s="24"/>
      <c r="X376" s="24"/>
      <c r="Y376" s="24"/>
      <c r="Z376" s="24"/>
      <c r="AA376" s="24"/>
      <c r="AB376" s="24"/>
    </row>
    <row r="377" spans="10:28" hidden="1" x14ac:dyDescent="0.25">
      <c r="J377" s="24"/>
      <c r="K377" s="24"/>
      <c r="L377" s="24"/>
      <c r="M377" s="24"/>
      <c r="N377" s="24"/>
      <c r="O377" s="24"/>
      <c r="P377" s="24"/>
      <c r="Q377" s="24"/>
      <c r="R377" s="24"/>
      <c r="S377" s="24"/>
      <c r="T377" s="24"/>
      <c r="U377" s="24"/>
      <c r="V377" s="24"/>
      <c r="W377" s="24"/>
      <c r="X377" s="24"/>
      <c r="Y377" s="24"/>
      <c r="Z377" s="24"/>
      <c r="AA377" s="24"/>
      <c r="AB377" s="24"/>
    </row>
    <row r="378" spans="10:28" hidden="1" x14ac:dyDescent="0.25"/>
    <row r="379" spans="10:28" hidden="1" x14ac:dyDescent="0.25"/>
    <row r="380" spans="10:28" hidden="1" x14ac:dyDescent="0.25"/>
    <row r="381" spans="10:28" hidden="1" x14ac:dyDescent="0.25"/>
    <row r="382" spans="10:28" hidden="1" x14ac:dyDescent="0.25"/>
    <row r="383" spans="10:28" hidden="1" x14ac:dyDescent="0.25"/>
    <row r="384" spans="10:28" hidden="1" x14ac:dyDescent="0.25"/>
    <row r="385" hidden="1" x14ac:dyDescent="0.25"/>
    <row r="386" hidden="1" x14ac:dyDescent="0.25"/>
    <row r="387" hidden="1" x14ac:dyDescent="0.25"/>
    <row r="388" hidden="1" x14ac:dyDescent="0.25"/>
    <row r="389" hidden="1" x14ac:dyDescent="0.25"/>
    <row r="390" hidden="1" x14ac:dyDescent="0.25"/>
    <row r="391" hidden="1" x14ac:dyDescent="0.25"/>
  </sheetData>
  <sheetProtection algorithmName="SHA-512" hashValue="9lkBD8iEwKpkdF/ZP1v1KWRMdZW5gmq4tD5K5JOkoWelCvuqFsvR5nShJdjVgmW4hVGlwmnMyIEKVDMb8rDheA==" saltValue="YrkVOS+jynmxtEQzCjcX5A==" spinCount="100000" sheet="1" objects="1" scenarios="1"/>
  <mergeCells count="7">
    <mergeCell ref="A23:E24"/>
    <mergeCell ref="A11:B11"/>
    <mergeCell ref="A1:E1"/>
    <mergeCell ref="A2:E2"/>
    <mergeCell ref="A3:E3"/>
    <mergeCell ref="A17:C17"/>
    <mergeCell ref="A10:C10"/>
  </mergeCells>
  <conditionalFormatting sqref="B12:B16">
    <cfRule type="expression" dxfId="119" priority="314">
      <formula>$C$11="No"</formula>
    </cfRule>
  </conditionalFormatting>
  <conditionalFormatting sqref="C12:C16">
    <cfRule type="expression" dxfId="118" priority="315">
      <formula>$C$11="Yes"</formula>
    </cfRule>
  </conditionalFormatting>
  <dataValidations xWindow="396" yWindow="435" count="12">
    <dataValidation type="list" allowBlank="1" showInputMessage="1" showErrorMessage="1" prompt=" Select &quot;Yes&quot; or &quot;No&quot;." sqref="C11" xr:uid="{00000000-0002-0000-0000-000000000000}">
      <formula1>List11</formula1>
    </dataValidation>
    <dataValidation type="list" allowBlank="1" showInputMessage="1" showErrorMessage="1" prompt="Select whether the plant is truck or central mix. " sqref="B9" xr:uid="{00000000-0002-0000-0000-000001000000}">
      <formula1>List4</formula1>
    </dataValidation>
    <dataValidation allowBlank="1" showInputMessage="1" showErrorMessage="1" prompt="Enter the number of operating hours per day." sqref="B5" xr:uid="{5CD40100-3004-46CB-BC9F-5F41E230928E}"/>
    <dataValidation allowBlank="1" showInputMessage="1" showErrorMessage="1" prompt="Enter the number of operating days per week." sqref="C5" xr:uid="{81E3D348-3A92-4A9C-99A3-54BA7E57BB81}"/>
    <dataValidation allowBlank="1" showInputMessage="1" showErrorMessage="1" prompt="Enter the number of operating weeks per year." sqref="D5" xr:uid="{A2D02217-9025-4E57-855E-23E557A73F2D}"/>
    <dataValidation allowBlank="1" showInputMessage="1" showErrorMessage="1" prompt="Enter the number of operating hours per year." sqref="E5" xr:uid="{2F19BD97-CF4F-4CD0-AD48-829EB9F4873A}"/>
    <dataValidation allowBlank="1" showInputMessage="1" showErrorMessage="1" prompt="Enter how many cubic yards of concrete will be produced in one hour." sqref="B7" xr:uid="{A2AFD4E7-3849-45D5-ABF5-29E7C33D7714}"/>
    <dataValidation allowBlank="1" showInputMessage="1" showErrorMessage="1" prompt="Enter how many cubic yards of concrete will be produced in one year." sqref="C7" xr:uid="{EA261AE7-2938-4F61-884A-026269CE5862}"/>
    <dataValidation allowBlank="1" showInputMessage="1" showErrorMessage="1" prompt="If &quot;No&quot; was selected in cell c11, enter the custom amount of aggregate used (pounds per cubic yard).  " sqref="C13" xr:uid="{052778DC-886D-4056-8109-2060E94A019C}"/>
    <dataValidation allowBlank="1" showInputMessage="1" showErrorMessage="1" prompt="If &quot;No&quot; was selected in cell c11, enter the custom amount of sand used (pounds per cubic yard).  " sqref="C14" xr:uid="{E1828A4E-3EF1-4F98-9758-9A977E0CE67A}"/>
    <dataValidation allowBlank="1" showInputMessage="1" showErrorMessage="1" prompt="If &quot;No&quot; was selected in cell c11, enter the custom amount of cement used (pounds per cubic yard).  " sqref="C15" xr:uid="{CE0DD775-FE5B-4C95-BABD-A084D256DA47}"/>
    <dataValidation allowBlank="1" showInputMessage="1" showErrorMessage="1" prompt="If &quot;No&quot; was selected in cell c11, enter the custom amount of cement supplement used (pounds per cubic yard).  " sqref="C16" xr:uid="{48E4A5E9-5720-46EE-904C-70E6A54E16D6}"/>
  </dataValidations>
  <pageMargins left="0.7" right="0.7" top="0.75" bottom="0.75" header="0.3" footer="0.3"/>
  <pageSetup fitToHeight="0" pageOrder="overThenDown"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T109"/>
  <sheetViews>
    <sheetView zoomScaleNormal="100" workbookViewId="0">
      <selection activeCell="A49" sqref="A49:L49"/>
    </sheetView>
  </sheetViews>
  <sheetFormatPr defaultColWidth="0" defaultRowHeight="15" zeroHeight="1" x14ac:dyDescent="0.25"/>
  <cols>
    <col min="1" max="1" width="5" style="19" customWidth="1"/>
    <col min="2" max="2" width="25" style="19" customWidth="1"/>
    <col min="3" max="3" width="10.5703125" style="19" customWidth="1"/>
    <col min="4" max="4" width="13.5703125" style="19" customWidth="1"/>
    <col min="5" max="5" width="13.7109375" style="19" customWidth="1"/>
    <col min="6" max="6" width="13.140625" style="32" customWidth="1"/>
    <col min="7" max="7" width="12.85546875" style="19" customWidth="1"/>
    <col min="8" max="12" width="12.7109375" style="19" customWidth="1"/>
    <col min="13" max="13" width="14.140625" style="19" hidden="1" customWidth="1"/>
    <col min="14" max="14" width="11.7109375" style="19" hidden="1" customWidth="1"/>
    <col min="15" max="15" width="9.28515625" style="19" hidden="1" customWidth="1"/>
    <col min="16" max="16" width="11" style="19" hidden="1" customWidth="1"/>
    <col min="17" max="17" width="9.42578125" style="19" hidden="1" customWidth="1"/>
    <col min="18" max="18" width="5.5703125" style="19" hidden="1" customWidth="1"/>
    <col min="19" max="19" width="9.140625" style="19" hidden="1" customWidth="1"/>
    <col min="20" max="20" width="10.42578125" style="19" hidden="1" customWidth="1"/>
    <col min="21" max="16384" width="9.140625" style="19" hidden="1"/>
  </cols>
  <sheetData>
    <row r="1" spans="1:19" ht="12.75" customHeight="1" x14ac:dyDescent="0.25">
      <c r="A1" s="254" t="s">
        <v>143</v>
      </c>
      <c r="B1" s="254"/>
      <c r="C1" s="254"/>
      <c r="D1" s="254"/>
      <c r="E1" s="254"/>
      <c r="F1" s="254"/>
      <c r="G1" s="254"/>
      <c r="H1" s="254"/>
      <c r="I1" s="254"/>
      <c r="J1" s="254"/>
      <c r="K1" s="254"/>
      <c r="L1" s="254"/>
    </row>
    <row r="2" spans="1:19" s="122" customFormat="1" ht="36.75" customHeight="1" x14ac:dyDescent="0.25">
      <c r="A2" s="257" t="s">
        <v>127</v>
      </c>
      <c r="B2" s="257"/>
      <c r="C2" s="257"/>
      <c r="D2" s="257"/>
      <c r="E2" s="257"/>
      <c r="F2" s="257"/>
      <c r="G2" s="257"/>
      <c r="H2" s="257"/>
      <c r="I2" s="257"/>
      <c r="J2" s="257"/>
      <c r="K2" s="257"/>
      <c r="L2" s="257"/>
    </row>
    <row r="3" spans="1:19" ht="195.75" customHeight="1" x14ac:dyDescent="0.25">
      <c r="A3" s="255" t="s">
        <v>155</v>
      </c>
      <c r="B3" s="256"/>
      <c r="C3" s="256"/>
      <c r="D3" s="256"/>
      <c r="E3" s="256"/>
      <c r="F3" s="256"/>
      <c r="G3" s="256"/>
      <c r="H3" s="256"/>
      <c r="I3" s="256"/>
      <c r="J3" s="256"/>
      <c r="K3" s="256"/>
      <c r="L3" s="256"/>
      <c r="M3" s="121"/>
      <c r="N3" s="71"/>
      <c r="O3" s="56"/>
      <c r="P3" s="56"/>
      <c r="Q3" s="12"/>
      <c r="R3" s="12"/>
      <c r="S3" s="54"/>
    </row>
    <row r="4" spans="1:19" ht="36" customHeight="1" thickBot="1" x14ac:dyDescent="0.3">
      <c r="A4" s="253" t="s">
        <v>83</v>
      </c>
      <c r="B4" s="253"/>
      <c r="C4" s="253"/>
      <c r="D4" s="253"/>
      <c r="E4" s="253"/>
      <c r="F4" s="253"/>
      <c r="G4" s="253"/>
      <c r="H4" s="253"/>
      <c r="I4" s="253"/>
      <c r="J4" s="253"/>
      <c r="K4" s="253"/>
      <c r="L4" s="253"/>
      <c r="M4" s="71"/>
      <c r="N4" s="56"/>
      <c r="O4" s="56"/>
      <c r="P4" s="12"/>
      <c r="Q4" s="12"/>
      <c r="R4" s="47"/>
    </row>
    <row r="5" spans="1:19" ht="25.5" customHeight="1" thickTop="1" x14ac:dyDescent="0.25">
      <c r="A5" s="260" t="s">
        <v>95</v>
      </c>
      <c r="B5" s="260"/>
      <c r="C5" s="260"/>
      <c r="D5" s="261"/>
      <c r="E5" s="159"/>
      <c r="F5" s="268" t="s">
        <v>91</v>
      </c>
      <c r="G5" s="269"/>
      <c r="H5" s="270"/>
      <c r="I5" s="262" t="s">
        <v>29</v>
      </c>
      <c r="J5" s="263"/>
      <c r="K5" s="264"/>
      <c r="L5" s="192">
        <f>'General Plant Information'!B19</f>
        <v>0</v>
      </c>
    </row>
    <row r="6" spans="1:19" ht="25.5" customHeight="1" x14ac:dyDescent="0.25">
      <c r="A6" s="274" t="s">
        <v>138</v>
      </c>
      <c r="B6" s="274"/>
      <c r="C6" s="274"/>
      <c r="D6" s="275"/>
      <c r="E6" s="189"/>
      <c r="F6" s="271" t="s">
        <v>91</v>
      </c>
      <c r="G6" s="272"/>
      <c r="H6" s="273"/>
      <c r="I6" s="265" t="s">
        <v>28</v>
      </c>
      <c r="J6" s="266"/>
      <c r="K6" s="267"/>
      <c r="L6" s="191">
        <f>'General Plant Information'!C19</f>
        <v>0</v>
      </c>
    </row>
    <row r="7" spans="1:19" s="61" customFormat="1" ht="25.5" customHeight="1" x14ac:dyDescent="0.2">
      <c r="A7" s="276" t="s">
        <v>91</v>
      </c>
      <c r="B7" s="276"/>
      <c r="C7" s="276"/>
      <c r="D7" s="276"/>
      <c r="E7" s="276"/>
      <c r="F7" s="276"/>
      <c r="G7" s="276"/>
      <c r="H7" s="276"/>
      <c r="I7" s="276"/>
      <c r="J7" s="276"/>
      <c r="K7" s="276"/>
      <c r="L7" s="276"/>
    </row>
    <row r="8" spans="1:19" ht="27" customHeight="1" x14ac:dyDescent="0.25">
      <c r="A8" s="277" t="s">
        <v>93</v>
      </c>
      <c r="B8" s="277"/>
      <c r="C8" s="278"/>
      <c r="D8" s="196">
        <v>5</v>
      </c>
      <c r="E8" s="197">
        <v>3</v>
      </c>
      <c r="F8" s="198"/>
      <c r="G8" s="198"/>
      <c r="H8" s="216"/>
      <c r="I8" s="198"/>
      <c r="J8" s="198"/>
      <c r="K8" s="198"/>
      <c r="L8" s="198"/>
      <c r="M8" s="138"/>
      <c r="N8" s="127"/>
    </row>
    <row r="9" spans="1:19" ht="21" customHeight="1" x14ac:dyDescent="0.25">
      <c r="A9" s="291" t="str">
        <f>IF(E6="Yes", "Hourly Mass Flow Rate (ton/hr) =", "  Hourly Mass Flow Rate")</f>
        <v xml:space="preserve">  Hourly Mass Flow Rate</v>
      </c>
      <c r="B9" s="291"/>
      <c r="C9" s="194" t="str">
        <f>IF(E6="Yes", L5, "(ton/hr) =")</f>
        <v>(ton/hr) =</v>
      </c>
      <c r="D9" s="166"/>
      <c r="E9" s="112"/>
      <c r="F9" s="112"/>
      <c r="G9" s="112"/>
      <c r="H9" s="112"/>
      <c r="I9" s="112"/>
      <c r="J9" s="112"/>
      <c r="K9" s="112"/>
      <c r="L9" s="112"/>
      <c r="M9" s="138"/>
    </row>
    <row r="10" spans="1:19" ht="21" customHeight="1" x14ac:dyDescent="0.25">
      <c r="A10" s="294" t="str">
        <f>IF(E6="Yes", "Annual Mass Flow Rate (ton/yr) =", "  Annual Mass Flow Rate")</f>
        <v xml:space="preserve">  Annual Mass Flow Rate</v>
      </c>
      <c r="B10" s="294"/>
      <c r="C10" s="202" t="str">
        <f>IF(E6="Yes", L6, "(ton/yr) =")</f>
        <v>(ton/yr) =</v>
      </c>
      <c r="D10" s="167"/>
      <c r="E10" s="113"/>
      <c r="F10" s="113"/>
      <c r="G10" s="113"/>
      <c r="H10" s="113"/>
      <c r="I10" s="140"/>
      <c r="J10" s="140"/>
      <c r="K10" s="140"/>
      <c r="L10" s="140"/>
      <c r="M10" s="138"/>
    </row>
    <row r="11" spans="1:19" ht="38.25" customHeight="1" x14ac:dyDescent="0.25">
      <c r="A11" s="294" t="s">
        <v>82</v>
      </c>
      <c r="B11" s="294"/>
      <c r="C11" s="295"/>
      <c r="D11" s="211"/>
      <c r="E11" s="212"/>
      <c r="F11" s="212"/>
      <c r="G11" s="212"/>
      <c r="H11" s="212"/>
      <c r="I11" s="213"/>
      <c r="J11" s="213"/>
      <c r="K11" s="213"/>
      <c r="L11" s="213"/>
      <c r="M11" s="138"/>
    </row>
    <row r="12" spans="1:19" ht="21" customHeight="1" x14ac:dyDescent="0.25">
      <c r="A12" s="289" t="s">
        <v>72</v>
      </c>
      <c r="B12" s="289"/>
      <c r="C12" s="290"/>
      <c r="D12" s="166"/>
      <c r="E12" s="112"/>
      <c r="F12" s="112"/>
      <c r="G12" s="112"/>
      <c r="H12" s="112"/>
      <c r="I12" s="112"/>
      <c r="J12" s="112"/>
      <c r="K12" s="112"/>
      <c r="L12" s="112"/>
      <c r="M12" s="138"/>
    </row>
    <row r="13" spans="1:19" ht="21" customHeight="1" x14ac:dyDescent="0.25">
      <c r="A13" s="258" t="s">
        <v>2</v>
      </c>
      <c r="B13" s="258"/>
      <c r="C13" s="259"/>
      <c r="D13" s="162" t="str">
        <f>IF(E5=0,"",IF(E6="Yes",L5*0.0069*((100-D12)/100), D9*0.0069*((100-D12)/100)))</f>
        <v/>
      </c>
      <c r="E13" s="116" t="str">
        <f>IF(E5&gt;=2, IF(E6="Yes",L5*0.0069*((100-E12)/100),E9*0.0069*((100-E12)/100)),"")</f>
        <v/>
      </c>
      <c r="F13" s="116" t="str">
        <f>IF(E5&gt;=3, IF(E6="Yes",L5*0.0069*((100-F12)/100),F9*0.0069*((100-F12)/100)),"")</f>
        <v/>
      </c>
      <c r="G13" s="116" t="str">
        <f>IF(E5&gt;=4, IF(E6="Yes",L5*0.0069*((100-G12)/100),G9*0.0069*((100-G12)/100)),"")</f>
        <v/>
      </c>
      <c r="H13" s="116" t="str">
        <f>IF(E5&gt;=5, IF(E6="Yes",L5*0.0069*((100-H12)/100),H9*0.0069*((100-H12)/100)),"")</f>
        <v/>
      </c>
      <c r="I13" s="116" t="str">
        <f>IF(E5&gt;=6, IF(E6="Yes",L5*0.0069*((100-I12)/100),I9*0.0069*((100-I12)/100)),"")</f>
        <v/>
      </c>
      <c r="J13" s="116" t="str">
        <f>IF(E5&gt;=7, IF(E6="Yes",L5*0.0069*((100-J12)/100),J9*0.0069*((100-J12)/100)),"")</f>
        <v/>
      </c>
      <c r="K13" s="116" t="str">
        <f>IF(E5&gt;=8, IF(E6="Yes",L5*0.0069*((100-K12)/100),K9*0.0069*((100-K12)/100)),"")</f>
        <v/>
      </c>
      <c r="L13" s="116" t="str">
        <f>IF(E5&gt;=9, IF(E6="Yes",L5*0.0069*((100-L12)/100),L9*0.0069*((100-L12)/100)),"")</f>
        <v/>
      </c>
      <c r="M13" s="138"/>
    </row>
    <row r="14" spans="1:19" ht="21" customHeight="1" x14ac:dyDescent="0.25">
      <c r="A14" s="258" t="s">
        <v>3</v>
      </c>
      <c r="B14" s="258"/>
      <c r="C14" s="259"/>
      <c r="D14" s="162" t="str">
        <f>IF(E5=0,"",IF(E6="Yes",L6*0.0069*(1/2000)*((100-D12)/100), D10*0.0069*(1/2000)*((100-D12)/100)))</f>
        <v/>
      </c>
      <c r="E14" s="116" t="str">
        <f>IF(E5&gt;=2, IF(E6="Yes",L6*0.0069*(1/2000)*((100-E12)/100),E10*0.0069*(1/2000)*((100-E12)/100)),"")</f>
        <v/>
      </c>
      <c r="F14" s="116" t="str">
        <f>IF(E5&gt;=3, IF(E6="Yes",L6*0.0069*(1/2000)*((100-F12)/100),F10*0.0069*(1/2000)*((100-F12)/100)),"")</f>
        <v/>
      </c>
      <c r="G14" s="116" t="str">
        <f>IF(E5&gt;=4, IF(E6="Yes",L6*0.0069*(1/2000)*((100-G12)/100),G10*0.0069*(1/2000)*((100-G12)/100)),"")</f>
        <v/>
      </c>
      <c r="H14" s="116" t="str">
        <f>IF(E5&gt;=5, IF(E6="Yes",L6*0.0069*(1/2000)*((100-H12)/100),H10*0.0069*(1/2000)*((100-H12)/100)),"")</f>
        <v/>
      </c>
      <c r="I14" s="116" t="str">
        <f>IF(E5&gt;=6, IF(E6="Yes",L6*0.0069*(1/2000)*((100-I12)/100),I10*0.0069*(1/2000)*((100-I12)/100)),"")</f>
        <v/>
      </c>
      <c r="J14" s="116" t="str">
        <f>IF(E5&gt;=7, IF(E6="Yes",L6*0.0069*(1/2000)*((100-J12)/100),J10*0.0069*(1/2000)*((100-J12)/100)),"")</f>
        <v/>
      </c>
      <c r="K14" s="116" t="str">
        <f>IF(E5&gt;=8, IF(E6="Yes",L6*0.0069*(1/2000)*((100-K12)/100),K10*0.0069*(1/2000)*((100-K12)/100)),"")</f>
        <v/>
      </c>
      <c r="L14" s="116" t="str">
        <f>IF(E5&gt;=9, IF(E6="Yes",L6*0.0069*(1/2000)*((100-L12)/100),L10*0.0069*(1/2000)*((100-L12)/100)),"")</f>
        <v/>
      </c>
      <c r="M14" s="138"/>
    </row>
    <row r="15" spans="1:19" ht="21" customHeight="1" x14ac:dyDescent="0.25">
      <c r="A15" s="258" t="s">
        <v>122</v>
      </c>
      <c r="B15" s="258"/>
      <c r="C15" s="259"/>
      <c r="D15" s="162" t="str">
        <f>IF(E5=0,"",IF(E6="Yes",L5*0.0033*((100-D12)/100), D9*0.0033*((100-D12)/100)))</f>
        <v/>
      </c>
      <c r="E15" s="116" t="str">
        <f>IF(E5&gt;=2, IF(E6="Yes",L5*0.0033*((100-E12)/100),E9*0.0033*((100-E12)/100)),"")</f>
        <v/>
      </c>
      <c r="F15" s="116" t="str">
        <f>IF(E5&gt;=3, IF(E6="Yes",L5*0.0033*((100-F12)/100),F9*0.0033*((100-F12)/100)),"")</f>
        <v/>
      </c>
      <c r="G15" s="116" t="str">
        <f>IF(E5&gt;=4, IF(E6="Yes",L5*0.0033*((100-G12)/100),G9*0.0033*((100-G12)/100)),"")</f>
        <v/>
      </c>
      <c r="H15" s="116" t="str">
        <f>IF(E5&gt;=5, IF(E6="Yes",L5*0.0033*((100-H12)/100),H9*0.0033*((100-H12)/100)),"")</f>
        <v/>
      </c>
      <c r="I15" s="116" t="str">
        <f>IF(E5&gt;=6, IF(E6="Yes",L5*0.0033*((100-I12)/100),I9*0.0033*((100-I12)/100)),"")</f>
        <v/>
      </c>
      <c r="J15" s="116" t="str">
        <f>IF(E5&gt;=7, IF(E6="Yes",L5*0.0033*((100-J12)/100),J9*0.0033*((100-J12)/100)),"")</f>
        <v/>
      </c>
      <c r="K15" s="116" t="str">
        <f>IF(E5&gt;=8, IF(E6="Yes",L5*0.0033*((100-K12)/100),K9*0.0033*((100-K12)/100)),"")</f>
        <v/>
      </c>
      <c r="L15" s="116" t="str">
        <f>IF(E5&gt;=9, IF(E6="Yes",L5*0.0033*((100-L12)/100),L9*0.0033*((100-L12)/100)),"")</f>
        <v/>
      </c>
      <c r="M15" s="138"/>
    </row>
    <row r="16" spans="1:19" ht="21" customHeight="1" x14ac:dyDescent="0.25">
      <c r="A16" s="258" t="s">
        <v>123</v>
      </c>
      <c r="B16" s="258"/>
      <c r="C16" s="259"/>
      <c r="D16" s="162" t="str">
        <f>IF(E5=0,"",IF(E6="Yes",L6*0.0033*(1/2000)*((100-D12)/100), D10*0.0033*(1/2000)*((100-D12)/100)))</f>
        <v/>
      </c>
      <c r="E16" s="116" t="str">
        <f>IF(E5&gt;=2, IF(E6="Yes",L6*0.0033*(1/2000)*((100-E12)/100),E10*0.0033*(1/2000)*((100-E12)/100)),"")</f>
        <v/>
      </c>
      <c r="F16" s="116" t="str">
        <f>IF(E5&gt;=3, IF(E6="Yes",L6*0.0033*(1/2000)*((100-F12)/100),F10*0.0033*(1/2000)*((100-F12)/100)),"")</f>
        <v/>
      </c>
      <c r="G16" s="116" t="str">
        <f>IF(E5&gt;=4, IF(E6="Yes",L6*0.0033*(1/2000)*((100-G12)/100),G10*0.0033*(1/2000)*((100-G12)/100)),"")</f>
        <v/>
      </c>
      <c r="H16" s="116" t="str">
        <f>IF(E5&gt;=5, IF(E6="Yes",L6*0.0033*(1/2000)*((100-H12)/100),H10*0.0033*(1/2000)*((100-H12)/100)),"")</f>
        <v/>
      </c>
      <c r="I16" s="116" t="str">
        <f>IF(E5&gt;=6, IF(E6="Yes",L6*0.0033*(1/2000)*((100-I12)/100),I10*0.0033*(1/2000)*((100-I12)/100)),"")</f>
        <v/>
      </c>
      <c r="J16" s="116" t="str">
        <f>IF(E5&gt;=7, IF(E6="Yes",L6*0.0033*(1/2000)*((100-J12)/100),J10*0.0033*(1/2000)*((100-J12)/100)),"")</f>
        <v/>
      </c>
      <c r="K16" s="116" t="str">
        <f>IF(E5&gt;=8, IF(E6="Yes",L6*0.0033*(1/2000)*((100-K12)/100),K10*0.0033*(1/2000)*((100-K12)/100)),"")</f>
        <v/>
      </c>
      <c r="L16" s="116" t="str">
        <f>IF(E5&gt;=9, IF(E6="Yes",L6*0.0033*(1/2000)*((100-L12)/100),L10*0.0033*(1/2000)*((100-L12)/100)),"")</f>
        <v/>
      </c>
      <c r="M16" s="138"/>
    </row>
    <row r="17" spans="1:17" ht="21" customHeight="1" x14ac:dyDescent="0.25">
      <c r="A17" s="258" t="s">
        <v>120</v>
      </c>
      <c r="B17" s="258"/>
      <c r="C17" s="259"/>
      <c r="D17" s="162" t="str">
        <f>IF(E5=0,"",IF(E6="Yes",L5*0.0033*(0.053/0.35)*((100-D12)/100), D9*0.0033*(0.053/0.35)*((100-D12)/100)))</f>
        <v/>
      </c>
      <c r="E17" s="116" t="str">
        <f>IF(E5&gt;=2, IF(E6="Yes",L5*0.0033*(0.053/0.35)*((100-E12)/100),E9*0.0033*(0.053/0.35)*((100-E12)/100)),"")</f>
        <v/>
      </c>
      <c r="F17" s="116" t="str">
        <f>IF(E5&gt;=3, IF(E6="Yes",L5*0.0033*(0.053/0.35)*((100-F12)/100),F9*0.0033*(0.053/0.35)*((100-F12)/100)),"")</f>
        <v/>
      </c>
      <c r="G17" s="116" t="str">
        <f>IF(E5&gt;=4, IF(E6="Yes",L5*0.0033*(0.053/0.35)*((100-G12)/100),G9*0.0033*(0.053/0.35)*((100-G12)/100)),"")</f>
        <v/>
      </c>
      <c r="H17" s="116" t="str">
        <f>IF(E5&gt;=5, IF(E6="Yes",L5*(0.053/0.35)*0.0033*((100-H12)/100),H9*(0.053/0.35)*0.0033*((100-H12)/100)),"")</f>
        <v/>
      </c>
      <c r="I17" s="116" t="str">
        <f>IF(E5&gt;=6, IF(E6="Yes",L5*0.0033*(0.053/0.35)*((100-I12)/100),I9*0.0033*(0.053/0.35)*((100-I12)/100)),"")</f>
        <v/>
      </c>
      <c r="J17" s="116" t="str">
        <f>IF(E5&gt;=7, IF(E6="Yes",L5*0.0033*(0.053/0.35)*((100-J12)/100),J9*0.0033*(0.053/0.35)*((100-J12)/100)),"")</f>
        <v/>
      </c>
      <c r="K17" s="116" t="str">
        <f>IF(E5&gt;=8, IF(E6="Yes",L5*0.0033*(0.053/0.35)*((100-K12)/100),K9*0.0033*(0.053/0.35)*((100-K12)/100)),"")</f>
        <v/>
      </c>
      <c r="L17" s="116" t="str">
        <f>IF(E5&gt;=9, IF(E6="Yes",L5*0.0033*(0.053/0.35)*((100-L12)/100),L9*0.0033*(0.053/0.35)*((100-L12)/100)),"")</f>
        <v/>
      </c>
      <c r="M17" s="138"/>
    </row>
    <row r="18" spans="1:17" ht="21" customHeight="1" x14ac:dyDescent="0.25">
      <c r="A18" s="258" t="s">
        <v>121</v>
      </c>
      <c r="B18" s="258"/>
      <c r="C18" s="259"/>
      <c r="D18" s="162" t="str">
        <f>IF(E5=0,"",IF(E6="Yes",L6*0.0033*(1/2000)*(0.053/0.35)*((100-D12)/100), D10*0.0033*(1/2000)*(0.053/0.35)*((100-D12)/100)))</f>
        <v/>
      </c>
      <c r="E18" s="116" t="str">
        <f>IF(E5&gt;=2, IF(E6="Yes",L6*0.0033*(1/2000)*(0.053/0.35)*((100-E12)/100),E10*0.0033*(1/2000)*(0.053/0.35)*((100-E12)/100)),"")</f>
        <v/>
      </c>
      <c r="F18" s="116" t="str">
        <f>IF(E5&gt;=3, IF(E6="Yes",L6*0.0033*(0.053/0.35)*(1/2000)*((100-F12)/100),F10*0.0033*(0.053/0.35)*(1/2000)*((100-F12)/100)),"")</f>
        <v/>
      </c>
      <c r="G18" s="116" t="str">
        <f>IF(E5&gt;=4, IF(E6="Yes",L6*0.0033*(0.053/0.35)*(1/2000)*((100-G12)/100),G10*0.0033*(0.053/0.35)*(1/2000)*((100-G12)/100)),"")</f>
        <v/>
      </c>
      <c r="H18" s="116" t="str">
        <f>IF(E5&gt;=5, IF(E6="Yes",L6*0.0033*(0.053/0.35)*(1/2000)*((100-H12)/100),H10*0.0033*(0.053/0.35)*(1/2000)*((100-H12)/100)),"")</f>
        <v/>
      </c>
      <c r="I18" s="116" t="str">
        <f>IF(E5&gt;=6, IF(E6="Yes",L6*0.0033*(0.053/0.35)*(1/2000)*((100-I12)/100),I10*0.0033*(0.053/0.35)*(1/2000)*((100-I12)/100)),"")</f>
        <v/>
      </c>
      <c r="J18" s="116" t="str">
        <f>IF(E5&gt;=7, IF(E6="Yes",L6*0.0033*(0.053/0.35)*(1/2000)*((100-J12)/100),J10*0.0033*(1/2000)*(0.053/0.35)*((100-J12)/100)),"")</f>
        <v/>
      </c>
      <c r="K18" s="116" t="str">
        <f>IF(E5&gt;=8, IF(E6="Yes",L6*(0.053/0.35)*0.0033*(1/2000)*((100-K12)/100),K10*0.0033*(0.053/0.35)*(1/2000)*((100-K12)/100)),"")</f>
        <v/>
      </c>
      <c r="L18" s="116" t="str">
        <f>IF(E5&gt;=9, IF(E6="Yes",L6*0.0033*(0.053/0.35)*(1/2000)*((100-L12)/100),L10*0.0033*(1/2000)*(0.053/0.35)*((100-L12)/100)),"")</f>
        <v/>
      </c>
      <c r="M18" s="138"/>
    </row>
    <row r="19" spans="1:17" ht="36" customHeight="1" thickBot="1" x14ac:dyDescent="0.3">
      <c r="A19" s="253" t="s">
        <v>36</v>
      </c>
      <c r="B19" s="253"/>
      <c r="C19" s="253"/>
      <c r="D19" s="253"/>
      <c r="E19" s="253"/>
      <c r="F19" s="253"/>
      <c r="G19" s="253"/>
      <c r="H19" s="253"/>
      <c r="I19" s="253"/>
      <c r="J19" s="253"/>
      <c r="K19" s="253"/>
      <c r="L19" s="253"/>
      <c r="M19" s="71"/>
      <c r="N19" s="56"/>
      <c r="O19" s="56"/>
      <c r="P19" s="12"/>
      <c r="Q19" s="12"/>
    </row>
    <row r="20" spans="1:17" ht="30" customHeight="1" thickTop="1" x14ac:dyDescent="0.25">
      <c r="A20" s="282" t="s">
        <v>96</v>
      </c>
      <c r="B20" s="282"/>
      <c r="C20" s="282"/>
      <c r="D20" s="283"/>
      <c r="E20" s="190"/>
      <c r="F20" s="268" t="s">
        <v>91</v>
      </c>
      <c r="G20" s="269"/>
      <c r="H20" s="270"/>
      <c r="I20" s="286" t="s">
        <v>29</v>
      </c>
      <c r="J20" s="287"/>
      <c r="K20" s="288"/>
      <c r="L20" s="193">
        <f>'General Plant Information'!B20</f>
        <v>0</v>
      </c>
      <c r="M20" s="33"/>
    </row>
    <row r="21" spans="1:17" ht="30" customHeight="1" x14ac:dyDescent="0.25">
      <c r="A21" s="284" t="s">
        <v>94</v>
      </c>
      <c r="B21" s="284"/>
      <c r="C21" s="284"/>
      <c r="D21" s="285"/>
      <c r="E21" s="189"/>
      <c r="F21" s="271" t="s">
        <v>91</v>
      </c>
      <c r="G21" s="272"/>
      <c r="H21" s="273"/>
      <c r="I21" s="265" t="s">
        <v>28</v>
      </c>
      <c r="J21" s="266"/>
      <c r="K21" s="267"/>
      <c r="L21" s="191">
        <f>'General Plant Information'!C20</f>
        <v>0</v>
      </c>
      <c r="M21" s="34"/>
      <c r="N21" s="33"/>
    </row>
    <row r="22" spans="1:17" s="126" customFormat="1" ht="25.5" customHeight="1" x14ac:dyDescent="0.2">
      <c r="A22" s="243" t="s">
        <v>91</v>
      </c>
      <c r="B22" s="281"/>
      <c r="C22" s="281"/>
      <c r="D22" s="281"/>
      <c r="E22" s="281"/>
      <c r="F22" s="281"/>
      <c r="G22" s="281"/>
      <c r="H22" s="281"/>
      <c r="I22" s="281"/>
      <c r="J22" s="281"/>
      <c r="K22" s="281"/>
      <c r="L22" s="281"/>
    </row>
    <row r="23" spans="1:17" ht="27" customHeight="1" x14ac:dyDescent="0.25">
      <c r="A23" s="298" t="s">
        <v>146</v>
      </c>
      <c r="B23" s="298"/>
      <c r="C23" s="299"/>
      <c r="D23" s="168"/>
      <c r="E23" s="169"/>
      <c r="F23" s="165"/>
      <c r="G23" s="165"/>
      <c r="H23" s="165"/>
      <c r="I23" s="165"/>
      <c r="J23" s="165"/>
      <c r="K23" s="165"/>
      <c r="L23" s="165"/>
      <c r="M23" s="33"/>
      <c r="N23" s="33"/>
      <c r="O23" s="33"/>
    </row>
    <row r="24" spans="1:17" ht="22.5" customHeight="1" x14ac:dyDescent="0.25">
      <c r="A24" s="280" t="str">
        <f>IF(E21="Yes", "Hourly Mass Flow Rate (ton/hr) =", " Hourly Mass Flow Rate")</f>
        <v xml:space="preserve"> Hourly Mass Flow Rate</v>
      </c>
      <c r="B24" s="280"/>
      <c r="C24" s="203" t="str">
        <f>IF(E21="Yes", L20, "(ton/hr) =")</f>
        <v>(ton/hr) =</v>
      </c>
      <c r="D24" s="123"/>
      <c r="E24" s="112"/>
      <c r="F24" s="112"/>
      <c r="G24" s="112"/>
      <c r="H24" s="112"/>
      <c r="I24" s="112"/>
      <c r="J24" s="112"/>
      <c r="K24" s="139"/>
      <c r="L24" s="139"/>
      <c r="M24" s="34"/>
      <c r="N24" s="34"/>
      <c r="O24" s="33"/>
    </row>
    <row r="25" spans="1:17" ht="22.5" customHeight="1" x14ac:dyDescent="0.25">
      <c r="A25" s="279" t="str">
        <f>IF(E21="Yes", "Annual Mass Flow Rate (ton/yr) =", " Annual Mass Flow Rate")</f>
        <v xml:space="preserve"> Annual Mass Flow Rate</v>
      </c>
      <c r="B25" s="279"/>
      <c r="C25" s="203" t="str">
        <f>IF(E21="Yes", L21, "(ton/yr) =")</f>
        <v>(ton/yr) =</v>
      </c>
      <c r="D25" s="134"/>
      <c r="E25" s="113"/>
      <c r="F25" s="113"/>
      <c r="G25" s="113"/>
      <c r="H25" s="113"/>
      <c r="I25" s="114"/>
      <c r="J25" s="114"/>
      <c r="K25" s="49"/>
      <c r="L25" s="49"/>
      <c r="M25" s="33"/>
      <c r="N25" s="33"/>
      <c r="O25" s="33"/>
    </row>
    <row r="26" spans="1:17" ht="38.25" customHeight="1" x14ac:dyDescent="0.25">
      <c r="A26" s="294" t="s">
        <v>82</v>
      </c>
      <c r="B26" s="294"/>
      <c r="C26" s="295"/>
      <c r="D26" s="185"/>
      <c r="E26" s="186"/>
      <c r="F26" s="186"/>
      <c r="G26" s="186"/>
      <c r="H26" s="186"/>
      <c r="I26" s="187"/>
      <c r="J26" s="187"/>
      <c r="K26" s="188"/>
      <c r="L26" s="188"/>
      <c r="M26" s="33"/>
      <c r="N26" s="33"/>
      <c r="O26" s="33"/>
    </row>
    <row r="27" spans="1:17" ht="21" customHeight="1" x14ac:dyDescent="0.25">
      <c r="A27" s="293" t="s">
        <v>73</v>
      </c>
      <c r="B27" s="293"/>
      <c r="C27" s="290"/>
      <c r="D27" s="124"/>
      <c r="E27" s="112"/>
      <c r="F27" s="112"/>
      <c r="G27" s="112"/>
      <c r="H27" s="112"/>
      <c r="I27" s="110"/>
      <c r="J27" s="110"/>
      <c r="K27" s="48"/>
      <c r="L27" s="48"/>
      <c r="M27" s="133"/>
    </row>
    <row r="28" spans="1:17" ht="21" customHeight="1" x14ac:dyDescent="0.25">
      <c r="A28" s="293" t="s">
        <v>2</v>
      </c>
      <c r="B28" s="293"/>
      <c r="C28" s="290"/>
      <c r="D28" s="118" t="str">
        <f>IF(E20=0,"",IF(E21="Yes",L20*0.0021*((100-D27)/100), D24*0.0021*((100-D27)/100)))</f>
        <v/>
      </c>
      <c r="E28" s="115" t="str">
        <f>IF(E20&gt;=2, IF(E21="Yes",L20*0.0021*((100-E27)/100),E24*0.0021*((100-E27)/100)),"")</f>
        <v/>
      </c>
      <c r="F28" s="115" t="str">
        <f>IF(E20&gt;=3, IF(E21="Yes",L20*0.0021*((100-F27)/100),F24*0.0021*((100-F27)/100)),"")</f>
        <v/>
      </c>
      <c r="G28" s="115" t="str">
        <f>IF(E20&gt;=4, IF(E21="Yes",L20*0.0021*((100-G27)/100),G24*0.0021*((100-G27)/100)),"")</f>
        <v/>
      </c>
      <c r="H28" s="115" t="str">
        <f>IF(E20&gt;=5, IF(E21="Yes",L20*0.0021*((100-H27)/100),H24*0.0021*((100-H27)/100)),"")</f>
        <v/>
      </c>
      <c r="I28" s="115" t="str">
        <f>IF(E20&gt;=6, IF(E21="Yes",L20*0.0021*((100-I27)/100),I24*0.0021*((100-I27)/100)),"")</f>
        <v/>
      </c>
      <c r="J28" s="115" t="str">
        <f>IF(E20&gt;=7, IF(E21="Yes",L20*0.0021*((100-J27)/100),J24*0.0021*((100-J27)/100)),"")</f>
        <v/>
      </c>
      <c r="K28" s="115" t="str">
        <f>IF(E20&gt;=8, IF(E21="Yes",L20*0.0021*((100-K27)/100),K24*0.0021*((100-K27)/100)),"")</f>
        <v/>
      </c>
      <c r="L28" s="115" t="str">
        <f>IF(E20&gt;=9, IF(E21="Yes",L20*0.0021*((100-L27)/100),L24*0.0021*((100-L27)/100)),"")</f>
        <v/>
      </c>
      <c r="M28" s="133"/>
    </row>
    <row r="29" spans="1:17" ht="21" customHeight="1" x14ac:dyDescent="0.25">
      <c r="A29" s="293" t="s">
        <v>3</v>
      </c>
      <c r="B29" s="293"/>
      <c r="C29" s="290"/>
      <c r="D29" s="118" t="str">
        <f>IF(E20=0,"",IF(E21="Yes",L21*0.0021*(1/2000)*((100-D27)/100), D25*0.0021*(1/2000)*((100-D27)/100)))</f>
        <v/>
      </c>
      <c r="E29" s="115" t="str">
        <f>IF(E20&gt;=2, IF(E21="Yes",L21*0.0021*(1/2000)*((100-E27)/100),E25*0.0021*(1/2000)*((100-E27)/100)),"")</f>
        <v/>
      </c>
      <c r="F29" s="115" t="str">
        <f>IF(E20&gt;=3, IF(E21="Yes",L21*0.0021*(1/2000)*((100-F27)/100),F25*0.0021*(1/2000)*((100-F27)/100)),"")</f>
        <v/>
      </c>
      <c r="G29" s="115" t="str">
        <f>IF(E20&gt;=4, IF(E21="Yes",L21*0.0021*(1/2000)*((100-G27)/100),G25*0.0021*(1/2000)*((100-G27)/100)),"")</f>
        <v/>
      </c>
      <c r="H29" s="115" t="str">
        <f>IF(E20&gt;=5, IF(E21="Yes",L21*0.0021*(1/2000)*((100-H27)/100),H25*0.0021*(1/2000)*((100-H27)/100)),"")</f>
        <v/>
      </c>
      <c r="I29" s="115" t="str">
        <f>IF(E20&gt;=6, IF(E21="Yes",L21*0.0021*(1/2000)*((100-I27)/100),I25*0.0021*(1/2000)*((100-I27)/100)),"")</f>
        <v/>
      </c>
      <c r="J29" s="115" t="str">
        <f>IF(E20&gt;=7, IF(E21="Yes",L21*0.0021*(1/2000)*((100-J27)/100),J25*0.0021*(1/2000)*((100-J27)/100)),"")</f>
        <v/>
      </c>
      <c r="K29" s="115" t="str">
        <f>IF(E20&gt;=8, IF(E21="Yes",L21*0.0021*(1/2000)*((100-K27)/100),K25*0.0021*(1/2000)*((100-K27)/100)),"")</f>
        <v/>
      </c>
      <c r="L29" s="115" t="str">
        <f>IF(E20&gt;=9, IF(E21="Yes",L21*0.0021*(1/2000)*((100-L27)/100),L25*0.0021*(1/2000)*((100-L27)/100)),"")</f>
        <v/>
      </c>
      <c r="M29" s="133"/>
    </row>
    <row r="30" spans="1:17" ht="21" customHeight="1" x14ac:dyDescent="0.25">
      <c r="A30" s="293" t="s">
        <v>118</v>
      </c>
      <c r="B30" s="293"/>
      <c r="C30" s="290"/>
      <c r="D30" s="118" t="str">
        <f>IF(E20=0,"",IF(E21="Yes",L20*0.00099*((100-D27)/100), D24*0.00099*((100-D27)/100)))</f>
        <v/>
      </c>
      <c r="E30" s="116" t="str">
        <f>IF(E20&gt;=2, IF(E21="Yes",L20*0.00099*((100-E27)/100),E24*0.00099*((100-E27)/100)),"")</f>
        <v/>
      </c>
      <c r="F30" s="116" t="str">
        <f>IF(E20&gt;=3, IF(E21="Yes",L20*0.00099*((100-F27)/100),F24*0.00099*((100-F27)/100)),"")</f>
        <v/>
      </c>
      <c r="G30" s="116" t="str">
        <f>IF(E20&gt;=4, IF(E21="Yes",L20*0.00099*((100-G27)/100),G24*0.00099*((100-G27)/100)),"")</f>
        <v/>
      </c>
      <c r="H30" s="116" t="str">
        <f>IF(E20&gt;=5, IF(E21="Yes",L20*0.00099*((100-H27)/100),H24*0.00099*((100-H27)/100)),"")</f>
        <v/>
      </c>
      <c r="I30" s="116" t="str">
        <f>IF(E20&gt;=6, IF(E21="Yes",L20*0.00099*((100-I27)/100),I24*0.00099*((100-I27)/100)),"")</f>
        <v/>
      </c>
      <c r="J30" s="116" t="str">
        <f>IF(E20&gt;=7, IF(E21="Yes",L20*0.00099*((100-J27)/100),J24*0.00099*((100-J27)/100)),"")</f>
        <v/>
      </c>
      <c r="K30" s="116" t="str">
        <f>IF(E20&gt;=8, IF(E21="Yes",L20*0.00099*((100-K27)/100),K24*0.00099*((100-K27)/100)),"")</f>
        <v/>
      </c>
      <c r="L30" s="116" t="str">
        <f>IF(E20&gt;=9, IF(E21="Yes",L20*0.00099*((100-L27)/100),L24*0.00099*((100-L27)/100)),"")</f>
        <v/>
      </c>
      <c r="M30" s="133"/>
    </row>
    <row r="31" spans="1:17" ht="21" customHeight="1" x14ac:dyDescent="0.25">
      <c r="A31" s="293" t="s">
        <v>119</v>
      </c>
      <c r="B31" s="293"/>
      <c r="C31" s="290"/>
      <c r="D31" s="118" t="str">
        <f>IF(E20=0,"",IF(E21="Yes",L21*0.00099*(1/2000)*((100-D27)/100), D25*0.00099*(1/2000)*((100-D27)/100)))</f>
        <v/>
      </c>
      <c r="E31" s="116" t="str">
        <f>IF(E20&gt;=2, IF(E21="Yes",L21*0.00099*(1/2000)*((100-E27)/100),E25*0.00099*(1/2000)*((100-E27)/100)),"")</f>
        <v/>
      </c>
      <c r="F31" s="116" t="str">
        <f>IF(E20&gt;=3, IF(E21="Yes",L21*0.00099*(1/2000)*((100-F27)/100),F25*0.00099*(1/2000)*((100-F27)/100)),"")</f>
        <v/>
      </c>
      <c r="G31" s="116" t="str">
        <f>IF(E20&gt;=4, IF(E21="Yes",L21*0.00099*(1/2000)*((100-G27)/100),G25*0.00099*(1/2000)*((100-G27)/100)),"")</f>
        <v/>
      </c>
      <c r="H31" s="116" t="str">
        <f>IF(E20&gt;=5, IF(E21="Yes",L21*0.00099*(1/2000)*((100-H27)/100),H25*0.00099*(1/2000)*((100-H27)/100)),"")</f>
        <v/>
      </c>
      <c r="I31" s="116" t="str">
        <f>IF(E20&gt;=6, IF(E21="Yes",L21*0.00099*(1/2000)*((100-I27)/100),I25*0.00099*(1/2000)*((100-I27)/100)),"")</f>
        <v/>
      </c>
      <c r="J31" s="116" t="str">
        <f>IF(E20&gt;=7, IF(E21="Yes",L21*0.00099*(1/2000)*((100-J27)/100),J25*0.00099*(1/2000)*((100-J27)/100)),"")</f>
        <v/>
      </c>
      <c r="K31" s="116" t="str">
        <f>IF(E20&gt;=8, IF(E21="Yes",L21*0.00099*(1/2000)*((100-K27)/100),K25*0.00099*(1/2000)*((100-K27)/100)),"")</f>
        <v/>
      </c>
      <c r="L31" s="116" t="str">
        <f>IF(E20&gt;=9, IF(E21="Yes",L21*0.00099*(1/2000)*((100-L27)/100),L25*0.00099*(1/2000)*((100-L27)/100)),"")</f>
        <v/>
      </c>
      <c r="M31" s="133"/>
    </row>
    <row r="32" spans="1:17" ht="21" customHeight="1" x14ac:dyDescent="0.25">
      <c r="A32" s="293" t="s">
        <v>120</v>
      </c>
      <c r="B32" s="293"/>
      <c r="C32" s="290"/>
      <c r="D32" s="118" t="str">
        <f>IF(E20=0,"",IF(E21="Yes",L20*0.00099*(0.053/0.35)*((100-D27)/100), D24*0.00099*(0.053/0.35)*((100-D27)/100)))</f>
        <v/>
      </c>
      <c r="E32" s="116" t="str">
        <f>IF(E20&gt;=2, IF(E21="Yes",L20*0.00099*(0.053/0.35)*((100-E27)/100),E24*0.00099*(0.053/0.35)*((100-E27)/100)),"")</f>
        <v/>
      </c>
      <c r="F32" s="116" t="str">
        <f>IF(E20&gt;=3, IF(E21="Yes",L20*0.00099*(0.053/0.35)*((100-F27)/100),F24*0.00099*(0.053/0.35)*((100-F27)/100)),"")</f>
        <v/>
      </c>
      <c r="G32" s="116" t="str">
        <f>IF(E20&gt;=4, IF(E21="Yes",L20*0.00099*(0.053/0.35)*((100-G27)/100),G24*0.00099*(0.053/0.35)*((100-G27)/100)),"")</f>
        <v/>
      </c>
      <c r="H32" s="116" t="str">
        <f>IF(E20&gt;=5, IF(E21="Yes",L20*0.00099*(0.053/0.35)*((100-H27)/100),H24*0.00099*(0.053/0.35)*((100-H27)/100)),"")</f>
        <v/>
      </c>
      <c r="I32" s="116" t="str">
        <f>IF(E20&gt;=6, IF(E21="Yes",L20*0.00099*(0.053/0.35)*((100-I27)/100),I24*0.00099*(0.053/0.35)*((100-I27)/100)),"")</f>
        <v/>
      </c>
      <c r="J32" s="116" t="str">
        <f>IF(E20&gt;=7, IF(E21="Yes",L20*0.00099*(0.053/0.35)*((100-J27)/100),J24*0.00099*(0.053/0.35)*((100-J27)/100)),"")</f>
        <v/>
      </c>
      <c r="K32" s="116" t="str">
        <f>IF(E20&gt;=8, IF(E21="Yes",L20*0.00099*(0.053/0.35)*((100-K27)/100),K24*0.00099*(0.053/0.35)*((100-K27)/100)),"")</f>
        <v/>
      </c>
      <c r="L32" s="116" t="str">
        <f>IF(E20&gt;=9, IF(E21="Yes",L20*0.00099*(0.053/0.35)*((100-L27)/100),L24*0.00099*(0.053/0.35)*((100-L27)/100)),"")</f>
        <v/>
      </c>
      <c r="M32" s="133"/>
    </row>
    <row r="33" spans="1:15" ht="21" customHeight="1" x14ac:dyDescent="0.25">
      <c r="A33" s="293" t="s">
        <v>121</v>
      </c>
      <c r="B33" s="293"/>
      <c r="C33" s="290"/>
      <c r="D33" s="118" t="str">
        <f>IF(E20=0,"",IF(E21="Yes",L21*0.00099*(0.053/0.35)*(1/2000)*((100-D27)/100), D25*0.00099*(0.053/0.35)*(1/2000)*((100-D27)/100)))</f>
        <v/>
      </c>
      <c r="E33" s="116" t="str">
        <f>IF(E20&gt;=2, IF(E21="Yes",L21*0.00099*(0.053/0.35)*(1/2000)*((100-E27)/100),E25*0.00099*(0.053/0.35)*(1/2000)*((100-E27)/100)),"")</f>
        <v/>
      </c>
      <c r="F33" s="116" t="str">
        <f>IF(E20&gt;=3, IF(E21="Yes",L21*0.00099*(0.053/0.35)*(1/2000)*((100-F27)/100),F25*0.00099*(0.053/0.35)*(1/2000)*((100-F27)/100)),"")</f>
        <v/>
      </c>
      <c r="G33" s="116" t="str">
        <f>IF(E20&gt;=4, IF(E21="Yes",L21*0.00099*(0.053/0.35)*(1/2000)*((100-G27)/100),G25*0.00099*(0.053/0.35)*(1/2000)*((100-G27)/100)),"")</f>
        <v/>
      </c>
      <c r="H33" s="116" t="str">
        <f>IF(E20&gt;=5, IF(E21="Yes",L21*0.00099*(0.053/0.35)*(1/2000)*((100-H27)/100),H25*0.00099*(0.053/0.35)*(1/2000)*((100-H27)/100)),"")</f>
        <v/>
      </c>
      <c r="I33" s="116" t="str">
        <f>IF(E20&gt;=6, IF(E21="Yes",L21*0.00099*(0.053/0.35)*(1/2000)*((100-I27)/100),I25*0.00099*(0.053/0.35)*(1/2000)*((100-I27)/100)),"")</f>
        <v/>
      </c>
      <c r="J33" s="116" t="str">
        <f>IF(E20&gt;=7, IF(E21="Yes",L21*0.00099*(0.053/0.35)*(1/2000)*((100-J27)/100),J25*0.00099*(0.053/0.35)*(1/2000)*((100-J27)/100)),"")</f>
        <v/>
      </c>
      <c r="K33" s="116" t="str">
        <f>IF(E20&gt;=8, IF(E21="Yes",L21*0.00099*(0.053/0.35)*(1/2000)*((100-K27)/100),K25*0.00099*(0.053/0.35)*(1/2000)*((100-K27)/100)),"")</f>
        <v/>
      </c>
      <c r="L33" s="116" t="str">
        <f>IF(E20&gt;=9, IF(E21="Yes",L21*0.00099*(0.053/0.35)*(1/2000)*((100-L27)/100),L25*0.00099*(1/2000)*(0.053/0.35)*((100-L27)/100)),"")</f>
        <v/>
      </c>
      <c r="M33" s="133"/>
    </row>
    <row r="34" spans="1:15" ht="36.75" customHeight="1" thickBot="1" x14ac:dyDescent="0.3">
      <c r="A34" s="253" t="s">
        <v>74</v>
      </c>
      <c r="B34" s="253"/>
      <c r="C34" s="253"/>
      <c r="D34" s="253"/>
      <c r="E34" s="253"/>
      <c r="F34" s="253"/>
      <c r="G34" s="253"/>
      <c r="H34" s="253"/>
      <c r="I34" s="253"/>
      <c r="J34" s="253"/>
      <c r="K34" s="253"/>
      <c r="L34" s="253"/>
      <c r="M34" s="56"/>
      <c r="N34" s="56"/>
    </row>
    <row r="35" spans="1:15" ht="19.5" customHeight="1" thickTop="1" x14ac:dyDescent="0.25">
      <c r="A35" s="301" t="s">
        <v>151</v>
      </c>
      <c r="B35" s="301"/>
      <c r="C35" s="301"/>
      <c r="D35" s="296"/>
      <c r="E35" s="296"/>
      <c r="F35" s="297" t="s">
        <v>91</v>
      </c>
      <c r="G35" s="297"/>
      <c r="H35" s="297"/>
      <c r="I35" s="297"/>
      <c r="J35" s="297"/>
      <c r="K35" s="297"/>
      <c r="L35" s="297"/>
      <c r="M35" s="56"/>
      <c r="N35" s="56"/>
    </row>
    <row r="36" spans="1:15" ht="21" customHeight="1" x14ac:dyDescent="0.25">
      <c r="A36" s="307" t="s">
        <v>22</v>
      </c>
      <c r="B36" s="307"/>
      <c r="C36" s="307"/>
      <c r="D36" s="292"/>
      <c r="E36" s="292"/>
      <c r="F36" s="276" t="s">
        <v>91</v>
      </c>
      <c r="G36" s="276"/>
      <c r="H36" s="276"/>
      <c r="I36" s="276"/>
      <c r="J36" s="276"/>
      <c r="K36" s="276"/>
      <c r="L36" s="276"/>
      <c r="M36" s="57"/>
    </row>
    <row r="37" spans="1:15" ht="25.5" customHeight="1" x14ac:dyDescent="0.25">
      <c r="A37" s="307" t="s">
        <v>82</v>
      </c>
      <c r="B37" s="307"/>
      <c r="C37" s="307"/>
      <c r="D37" s="308"/>
      <c r="E37" s="308"/>
      <c r="F37" s="276" t="s">
        <v>91</v>
      </c>
      <c r="G37" s="276"/>
      <c r="H37" s="276"/>
      <c r="I37" s="276"/>
      <c r="J37" s="276"/>
      <c r="K37" s="276"/>
      <c r="L37" s="276"/>
      <c r="M37" s="57"/>
    </row>
    <row r="38" spans="1:15" ht="21" customHeight="1" x14ac:dyDescent="0.25">
      <c r="A38" s="307" t="s">
        <v>72</v>
      </c>
      <c r="B38" s="307"/>
      <c r="C38" s="307"/>
      <c r="D38" s="292"/>
      <c r="E38" s="292"/>
      <c r="F38" s="276" t="s">
        <v>91</v>
      </c>
      <c r="G38" s="276"/>
      <c r="H38" s="276"/>
      <c r="I38" s="276"/>
      <c r="J38" s="276"/>
      <c r="K38" s="276"/>
      <c r="L38" s="276"/>
      <c r="M38" s="57"/>
      <c r="N38" s="57"/>
      <c r="O38" s="57"/>
    </row>
    <row r="39" spans="1:15" ht="21" customHeight="1" x14ac:dyDescent="0.25">
      <c r="A39" s="303" t="s">
        <v>37</v>
      </c>
      <c r="B39" s="303"/>
      <c r="C39" s="303"/>
      <c r="D39" s="309"/>
      <c r="E39" s="309"/>
      <c r="F39" s="276" t="s">
        <v>91</v>
      </c>
      <c r="G39" s="276"/>
      <c r="H39" s="276"/>
      <c r="I39" s="276"/>
      <c r="J39" s="276"/>
      <c r="K39" s="276"/>
      <c r="L39" s="276"/>
      <c r="M39" s="57"/>
      <c r="N39" s="57"/>
      <c r="O39" s="57"/>
    </row>
    <row r="40" spans="1:15" ht="21" customHeight="1" x14ac:dyDescent="0.25">
      <c r="A40" s="306" t="s">
        <v>38</v>
      </c>
      <c r="B40" s="306"/>
      <c r="C40" s="306"/>
      <c r="D40" s="305">
        <f>3.5*(365-D39)*D36*(1/2000)*(100-D38)/100</f>
        <v>0</v>
      </c>
      <c r="E40" s="305"/>
      <c r="F40" s="276" t="s">
        <v>91</v>
      </c>
      <c r="G40" s="276"/>
      <c r="H40" s="276"/>
      <c r="I40" s="276"/>
      <c r="J40" s="276"/>
      <c r="K40" s="276"/>
      <c r="L40" s="276"/>
      <c r="M40" s="57"/>
      <c r="N40" s="57"/>
      <c r="O40" s="57"/>
    </row>
    <row r="41" spans="1:15" ht="21" customHeight="1" x14ac:dyDescent="0.25">
      <c r="A41" s="306" t="s">
        <v>97</v>
      </c>
      <c r="B41" s="306"/>
      <c r="C41" s="306"/>
      <c r="D41" s="305">
        <f>D40*0.5</f>
        <v>0</v>
      </c>
      <c r="E41" s="305"/>
      <c r="F41" s="276" t="s">
        <v>91</v>
      </c>
      <c r="G41" s="276"/>
      <c r="H41" s="276"/>
      <c r="I41" s="276"/>
      <c r="J41" s="276"/>
      <c r="K41" s="276"/>
      <c r="L41" s="276"/>
      <c r="M41" s="57"/>
      <c r="N41" s="57"/>
      <c r="O41" s="57"/>
    </row>
    <row r="42" spans="1:15" ht="21" customHeight="1" x14ac:dyDescent="0.25">
      <c r="A42" s="303" t="s">
        <v>98</v>
      </c>
      <c r="B42" s="303"/>
      <c r="C42" s="303"/>
      <c r="D42" s="304">
        <f>D41*0.15</f>
        <v>0</v>
      </c>
      <c r="E42" s="304"/>
      <c r="F42" s="276" t="s">
        <v>91</v>
      </c>
      <c r="G42" s="276"/>
      <c r="H42" s="276"/>
      <c r="I42" s="276"/>
      <c r="J42" s="276"/>
      <c r="K42" s="276"/>
      <c r="L42" s="276"/>
      <c r="M42" s="57"/>
      <c r="N42" s="57"/>
      <c r="O42" s="57"/>
    </row>
    <row r="43" spans="1:15" ht="21" customHeight="1" x14ac:dyDescent="0.25">
      <c r="A43" s="306" t="s">
        <v>39</v>
      </c>
      <c r="B43" s="306"/>
      <c r="C43" s="306"/>
      <c r="D43" s="305">
        <f>13.2*D39*D36*(1/2000)*(100-D38)/100</f>
        <v>0</v>
      </c>
      <c r="E43" s="305"/>
      <c r="F43" s="276" t="s">
        <v>91</v>
      </c>
      <c r="G43" s="276"/>
      <c r="H43" s="276"/>
      <c r="I43" s="276"/>
      <c r="J43" s="276"/>
      <c r="K43" s="276"/>
      <c r="L43" s="276"/>
      <c r="M43" s="57"/>
      <c r="N43" s="57"/>
      <c r="O43" s="57"/>
    </row>
    <row r="44" spans="1:15" ht="21" customHeight="1" x14ac:dyDescent="0.25">
      <c r="A44" s="306" t="s">
        <v>99</v>
      </c>
      <c r="B44" s="306"/>
      <c r="C44" s="306"/>
      <c r="D44" s="305">
        <f>D43*0.5</f>
        <v>0</v>
      </c>
      <c r="E44" s="305"/>
      <c r="F44" s="276" t="s">
        <v>91</v>
      </c>
      <c r="G44" s="276"/>
      <c r="H44" s="276"/>
      <c r="I44" s="276"/>
      <c r="J44" s="276"/>
      <c r="K44" s="276"/>
      <c r="L44" s="276"/>
      <c r="M44" s="57"/>
      <c r="N44" s="57"/>
      <c r="O44" s="57"/>
    </row>
    <row r="45" spans="1:15" ht="21" customHeight="1" x14ac:dyDescent="0.25">
      <c r="A45" s="303" t="s">
        <v>100</v>
      </c>
      <c r="B45" s="303"/>
      <c r="C45" s="303"/>
      <c r="D45" s="304">
        <f>D44*0.15</f>
        <v>0</v>
      </c>
      <c r="E45" s="304"/>
      <c r="F45" s="276" t="s">
        <v>91</v>
      </c>
      <c r="G45" s="276"/>
      <c r="H45" s="276"/>
      <c r="I45" s="276"/>
      <c r="J45" s="276"/>
      <c r="K45" s="276"/>
      <c r="L45" s="276"/>
      <c r="M45" s="57"/>
      <c r="N45" s="57"/>
      <c r="O45" s="57"/>
    </row>
    <row r="46" spans="1:15" ht="21" customHeight="1" x14ac:dyDescent="0.25">
      <c r="A46" s="302" t="s">
        <v>40</v>
      </c>
      <c r="B46" s="302"/>
      <c r="C46" s="302"/>
      <c r="D46" s="300">
        <f>D40+D43</f>
        <v>0</v>
      </c>
      <c r="E46" s="300"/>
      <c r="F46" s="276" t="s">
        <v>91</v>
      </c>
      <c r="G46" s="276"/>
      <c r="H46" s="276"/>
      <c r="I46" s="276"/>
      <c r="J46" s="276"/>
      <c r="K46" s="276"/>
      <c r="L46" s="276"/>
      <c r="M46" s="57"/>
      <c r="N46" s="57"/>
      <c r="O46" s="57"/>
    </row>
    <row r="47" spans="1:15" ht="21" customHeight="1" x14ac:dyDescent="0.25">
      <c r="A47" s="302" t="s">
        <v>101</v>
      </c>
      <c r="B47" s="302"/>
      <c r="C47" s="302"/>
      <c r="D47" s="300">
        <f>D41+D44</f>
        <v>0</v>
      </c>
      <c r="E47" s="300"/>
      <c r="F47" s="311" t="s">
        <v>91</v>
      </c>
      <c r="G47" s="311"/>
      <c r="H47" s="311"/>
      <c r="I47" s="311"/>
      <c r="J47" s="311"/>
      <c r="K47" s="311"/>
      <c r="L47" s="311"/>
      <c r="M47" s="119"/>
      <c r="N47" s="57"/>
      <c r="O47" s="57"/>
    </row>
    <row r="48" spans="1:15" ht="21" customHeight="1" x14ac:dyDescent="0.25">
      <c r="A48" s="302" t="s">
        <v>102</v>
      </c>
      <c r="B48" s="302"/>
      <c r="C48" s="302"/>
      <c r="D48" s="300">
        <f>D42+D45</f>
        <v>0</v>
      </c>
      <c r="E48" s="300"/>
      <c r="F48" s="310" t="s">
        <v>91</v>
      </c>
      <c r="G48" s="310"/>
      <c r="H48" s="310"/>
      <c r="I48" s="310"/>
      <c r="J48" s="310"/>
      <c r="K48" s="310"/>
      <c r="L48" s="310"/>
      <c r="M48" s="120"/>
      <c r="N48" s="57"/>
      <c r="O48" s="57"/>
    </row>
    <row r="49" spans="1:16" x14ac:dyDescent="0.25">
      <c r="A49" s="243" t="s">
        <v>115</v>
      </c>
      <c r="B49" s="243"/>
      <c r="C49" s="243"/>
      <c r="D49" s="243"/>
      <c r="E49" s="243"/>
      <c r="F49" s="243"/>
      <c r="G49" s="243"/>
      <c r="H49" s="243"/>
      <c r="I49" s="243"/>
      <c r="J49" s="243"/>
      <c r="K49" s="243"/>
      <c r="L49" s="243"/>
      <c r="M49" s="119"/>
      <c r="N49" s="119"/>
      <c r="O49" s="57"/>
      <c r="P49" s="57"/>
    </row>
    <row r="50" spans="1:16" hidden="1" x14ac:dyDescent="0.25">
      <c r="A50" s="92"/>
      <c r="B50" s="92"/>
      <c r="C50" s="92"/>
      <c r="D50" s="92"/>
      <c r="E50" s="92"/>
      <c r="F50" s="92"/>
      <c r="G50" s="92"/>
      <c r="H50" s="92"/>
      <c r="I50" s="92"/>
      <c r="J50" s="92"/>
      <c r="K50" s="92"/>
      <c r="L50" s="92"/>
      <c r="M50" s="57"/>
      <c r="N50" s="57"/>
    </row>
    <row r="51" spans="1:16" ht="13.5" hidden="1" customHeight="1" x14ac:dyDescent="0.25">
      <c r="A51" s="56"/>
      <c r="B51" s="56"/>
      <c r="C51" s="56"/>
      <c r="D51" s="56"/>
      <c r="E51" s="56"/>
      <c r="F51" s="117"/>
      <c r="G51" s="56"/>
      <c r="H51" s="56"/>
      <c r="I51" s="56"/>
      <c r="J51" s="56"/>
      <c r="K51" s="56"/>
      <c r="L51" s="56"/>
      <c r="M51" s="56"/>
      <c r="N51" s="56"/>
      <c r="O51" s="56"/>
      <c r="P51" s="56"/>
    </row>
    <row r="52" spans="1:16" hidden="1" x14ac:dyDescent="0.25">
      <c r="A52" s="56"/>
      <c r="B52" s="56"/>
      <c r="C52" s="56"/>
      <c r="D52" s="56"/>
      <c r="E52" s="56"/>
      <c r="F52" s="117"/>
      <c r="G52" s="56"/>
      <c r="H52" s="56"/>
      <c r="I52" s="56"/>
      <c r="J52" s="56"/>
      <c r="K52" s="56"/>
      <c r="L52" s="56"/>
      <c r="M52" s="56"/>
      <c r="N52" s="56"/>
      <c r="O52" s="56"/>
      <c r="P52" s="56"/>
    </row>
    <row r="53" spans="1:16" hidden="1" x14ac:dyDescent="0.25">
      <c r="A53" s="56"/>
      <c r="B53" s="56"/>
      <c r="C53" s="56"/>
      <c r="D53" s="56"/>
      <c r="E53" s="56"/>
      <c r="F53" s="117"/>
      <c r="G53" s="56"/>
      <c r="H53" s="56"/>
      <c r="I53" s="56"/>
      <c r="J53" s="56"/>
      <c r="K53" s="56"/>
      <c r="L53" s="56"/>
      <c r="M53" s="56"/>
      <c r="N53" s="56"/>
      <c r="O53" s="56"/>
      <c r="P53" s="56"/>
    </row>
    <row r="54" spans="1:16" hidden="1" x14ac:dyDescent="0.25">
      <c r="A54" s="56"/>
      <c r="B54" s="56"/>
      <c r="C54" s="56"/>
      <c r="D54" s="56"/>
      <c r="E54" s="56"/>
      <c r="F54" s="117"/>
      <c r="G54" s="56"/>
      <c r="H54" s="56"/>
      <c r="I54" s="56"/>
      <c r="J54" s="56"/>
      <c r="K54" s="56"/>
      <c r="L54" s="56"/>
      <c r="M54" s="56"/>
      <c r="N54" s="56"/>
      <c r="O54" s="56"/>
      <c r="P54" s="56"/>
    </row>
    <row r="55" spans="1:16" hidden="1" x14ac:dyDescent="0.25">
      <c r="F55" s="117"/>
      <c r="G55" s="56"/>
      <c r="H55" s="56"/>
      <c r="I55" s="56"/>
      <c r="J55" s="56"/>
      <c r="K55" s="56"/>
      <c r="L55" s="56"/>
      <c r="M55" s="56"/>
      <c r="N55" s="56"/>
      <c r="O55" s="56"/>
      <c r="P55" s="56"/>
    </row>
    <row r="56" spans="1:16" hidden="1" x14ac:dyDescent="0.25">
      <c r="A56" s="56"/>
      <c r="B56" s="56"/>
      <c r="C56" s="56"/>
      <c r="D56" s="56"/>
      <c r="E56" s="56"/>
      <c r="F56" s="117"/>
      <c r="G56" s="56"/>
      <c r="H56" s="56"/>
      <c r="I56" s="56"/>
      <c r="J56" s="56"/>
      <c r="K56" s="56"/>
      <c r="L56" s="56"/>
      <c r="M56" s="56"/>
      <c r="N56" s="56"/>
      <c r="O56" s="56"/>
      <c r="P56" s="56"/>
    </row>
    <row r="57" spans="1:16" hidden="1" x14ac:dyDescent="0.25">
      <c r="A57" s="56"/>
      <c r="B57" s="56"/>
      <c r="C57" s="56"/>
      <c r="D57" s="56"/>
      <c r="E57" s="56"/>
      <c r="F57" s="117"/>
      <c r="G57" s="56"/>
      <c r="H57" s="56"/>
      <c r="I57" s="56"/>
      <c r="J57" s="56"/>
      <c r="K57" s="56"/>
      <c r="L57" s="56"/>
      <c r="M57" s="56"/>
      <c r="N57" s="56"/>
      <c r="O57" s="56"/>
      <c r="P57" s="56"/>
    </row>
    <row r="58" spans="1:16" ht="15" hidden="1" customHeight="1" x14ac:dyDescent="0.25">
      <c r="A58" s="56"/>
      <c r="B58" s="56"/>
      <c r="C58" s="56"/>
      <c r="D58" s="56"/>
      <c r="E58" s="56"/>
      <c r="F58" s="117"/>
      <c r="G58" s="56"/>
      <c r="H58" s="56"/>
      <c r="I58" s="56"/>
      <c r="J58" s="56"/>
      <c r="K58" s="56"/>
      <c r="L58" s="56"/>
      <c r="M58" s="56"/>
      <c r="N58" s="56"/>
      <c r="O58" s="56"/>
      <c r="P58" s="56"/>
    </row>
    <row r="59" spans="1:16" hidden="1" x14ac:dyDescent="0.25">
      <c r="A59" s="56"/>
      <c r="B59" s="56"/>
      <c r="C59" s="56"/>
      <c r="D59" s="56"/>
      <c r="E59" s="56"/>
      <c r="F59" s="117"/>
      <c r="G59" s="56"/>
      <c r="H59" s="56"/>
      <c r="I59" s="56"/>
      <c r="J59" s="56"/>
      <c r="K59" s="56"/>
      <c r="L59" s="56"/>
      <c r="M59" s="56"/>
      <c r="N59" s="56"/>
      <c r="O59" s="56"/>
      <c r="P59" s="56"/>
    </row>
    <row r="60" spans="1:16" hidden="1" x14ac:dyDescent="0.25">
      <c r="A60" s="56"/>
      <c r="B60" s="56"/>
      <c r="C60" s="56"/>
      <c r="D60" s="56"/>
      <c r="E60" s="56"/>
      <c r="F60" s="117"/>
      <c r="G60" s="56"/>
      <c r="H60" s="56"/>
      <c r="I60" s="56"/>
      <c r="J60" s="56"/>
      <c r="K60" s="56"/>
      <c r="L60" s="56"/>
      <c r="M60" s="56"/>
      <c r="N60" s="56"/>
      <c r="O60" s="56"/>
      <c r="P60" s="56"/>
    </row>
    <row r="61" spans="1:16" hidden="1" x14ac:dyDescent="0.25">
      <c r="A61" s="56"/>
      <c r="B61" s="56"/>
      <c r="C61" s="56"/>
      <c r="D61" s="56"/>
      <c r="E61" s="56"/>
      <c r="F61" s="117"/>
      <c r="G61" s="56"/>
      <c r="H61" s="56"/>
      <c r="I61" s="56"/>
      <c r="J61" s="56"/>
      <c r="K61" s="56"/>
      <c r="L61" s="56"/>
      <c r="M61" s="56"/>
      <c r="N61" s="56"/>
      <c r="O61" s="56"/>
      <c r="P61" s="56"/>
    </row>
    <row r="62" spans="1:16" hidden="1" x14ac:dyDescent="0.25">
      <c r="A62" s="56"/>
      <c r="B62" s="56"/>
      <c r="C62" s="56"/>
      <c r="D62" s="56"/>
      <c r="E62" s="56"/>
      <c r="F62" s="117"/>
      <c r="G62" s="56"/>
      <c r="H62" s="56"/>
      <c r="I62" s="56"/>
      <c r="J62" s="56"/>
      <c r="K62" s="56"/>
      <c r="L62" s="56"/>
      <c r="M62" s="56"/>
      <c r="N62" s="56"/>
      <c r="O62" s="56"/>
      <c r="P62" s="56"/>
    </row>
    <row r="63" spans="1:16" hidden="1" x14ac:dyDescent="0.25">
      <c r="A63" s="56"/>
      <c r="B63" s="56"/>
      <c r="C63" s="56"/>
      <c r="D63" s="56"/>
      <c r="E63" s="56"/>
      <c r="F63" s="117"/>
      <c r="G63" s="56"/>
      <c r="H63" s="56"/>
      <c r="I63" s="56"/>
      <c r="J63" s="56"/>
      <c r="K63" s="56"/>
      <c r="L63" s="56"/>
      <c r="M63" s="56"/>
      <c r="N63" s="56"/>
      <c r="O63" s="56"/>
      <c r="P63" s="56"/>
    </row>
    <row r="64" spans="1:16" hidden="1" x14ac:dyDescent="0.25">
      <c r="A64" s="56"/>
      <c r="B64" s="56"/>
      <c r="C64" s="56"/>
      <c r="D64" s="56"/>
      <c r="E64" s="56"/>
      <c r="F64" s="117"/>
      <c r="G64" s="56"/>
      <c r="H64" s="56"/>
      <c r="I64" s="56"/>
      <c r="J64" s="56"/>
      <c r="K64" s="56"/>
      <c r="L64" s="56"/>
      <c r="M64" s="56"/>
      <c r="N64" s="56"/>
      <c r="O64" s="56"/>
      <c r="P64" s="56"/>
    </row>
    <row r="65" spans="1:16" hidden="1" x14ac:dyDescent="0.25">
      <c r="A65" s="56"/>
      <c r="B65" s="56"/>
      <c r="C65" s="56"/>
      <c r="D65" s="56"/>
      <c r="E65" s="56"/>
    </row>
    <row r="66" spans="1:16" hidden="1" x14ac:dyDescent="0.25">
      <c r="A66" s="56"/>
      <c r="B66" s="56"/>
      <c r="C66" s="56"/>
      <c r="D66" s="56"/>
      <c r="E66" s="56"/>
      <c r="F66" s="117"/>
      <c r="G66" s="56"/>
      <c r="H66" s="56"/>
      <c r="I66" s="56"/>
      <c r="J66" s="56"/>
      <c r="K66" s="56"/>
      <c r="L66" s="56"/>
      <c r="M66" s="56"/>
      <c r="N66" s="56"/>
      <c r="O66" s="56"/>
      <c r="P66" s="56"/>
    </row>
    <row r="67" spans="1:16" hidden="1" x14ac:dyDescent="0.25">
      <c r="A67" s="56"/>
      <c r="B67" s="56"/>
      <c r="C67" s="56"/>
      <c r="D67" s="56"/>
      <c r="E67" s="56"/>
      <c r="F67" s="117"/>
      <c r="G67" s="56"/>
      <c r="H67" s="56"/>
      <c r="I67" s="56"/>
      <c r="J67" s="56"/>
      <c r="K67" s="56"/>
      <c r="L67" s="56"/>
      <c r="M67" s="56"/>
      <c r="N67" s="56"/>
      <c r="O67" s="56"/>
      <c r="P67" s="56"/>
    </row>
    <row r="68" spans="1:16" hidden="1" x14ac:dyDescent="0.25">
      <c r="A68" s="56"/>
      <c r="B68" s="56"/>
      <c r="C68" s="56"/>
      <c r="D68" s="56"/>
      <c r="E68" s="56"/>
      <c r="F68" s="117"/>
      <c r="G68" s="56"/>
      <c r="H68" s="56"/>
      <c r="I68" s="56"/>
      <c r="J68" s="56"/>
      <c r="K68" s="116"/>
      <c r="L68" s="116"/>
      <c r="M68" s="51"/>
      <c r="N68" s="51"/>
      <c r="O68" s="51"/>
    </row>
    <row r="69" spans="1:16" hidden="1" x14ac:dyDescent="0.25">
      <c r="A69" s="56"/>
      <c r="B69" s="56"/>
      <c r="C69" s="56"/>
      <c r="D69" s="56"/>
      <c r="E69" s="56"/>
      <c r="F69" s="117"/>
      <c r="G69" s="56"/>
      <c r="H69" s="56"/>
      <c r="I69" s="56"/>
      <c r="J69" s="56"/>
      <c r="K69" s="56"/>
      <c r="L69" s="56"/>
      <c r="M69" s="56"/>
      <c r="N69" s="56"/>
      <c r="O69" s="56"/>
      <c r="P69" s="56"/>
    </row>
    <row r="70" spans="1:16" hidden="1" x14ac:dyDescent="0.25">
      <c r="A70" s="56"/>
      <c r="B70" s="56"/>
      <c r="C70" s="56"/>
      <c r="D70" s="56"/>
      <c r="E70" s="56"/>
      <c r="F70" s="117"/>
      <c r="G70" s="56"/>
      <c r="H70" s="56"/>
      <c r="I70" s="56"/>
      <c r="J70" s="56"/>
      <c r="K70" s="56"/>
      <c r="L70" s="56"/>
      <c r="M70" s="56"/>
      <c r="N70" s="56"/>
      <c r="O70" s="56"/>
      <c r="P70" s="56"/>
    </row>
    <row r="71" spans="1:16" hidden="1" x14ac:dyDescent="0.25">
      <c r="A71" s="56"/>
      <c r="B71" s="56"/>
      <c r="C71" s="56"/>
      <c r="D71" s="56"/>
      <c r="E71" s="56"/>
      <c r="F71" s="117"/>
      <c r="G71" s="56"/>
      <c r="H71" s="56"/>
      <c r="I71" s="56"/>
      <c r="J71" s="56"/>
      <c r="K71" s="56"/>
      <c r="L71" s="56"/>
      <c r="M71" s="56"/>
      <c r="N71" s="56"/>
      <c r="O71" s="56"/>
      <c r="P71" s="56"/>
    </row>
    <row r="72" spans="1:16" hidden="1" x14ac:dyDescent="0.25">
      <c r="A72" s="56"/>
      <c r="B72" s="56"/>
      <c r="C72" s="56"/>
      <c r="D72" s="56"/>
      <c r="E72" s="56"/>
      <c r="F72" s="117"/>
      <c r="G72" s="56"/>
      <c r="H72" s="56"/>
      <c r="I72" s="56"/>
      <c r="J72" s="56"/>
      <c r="K72" s="56"/>
      <c r="L72" s="56"/>
      <c r="M72" s="56"/>
      <c r="N72" s="56"/>
      <c r="O72" s="56"/>
      <c r="P72" s="56"/>
    </row>
    <row r="73" spans="1:16" hidden="1" x14ac:dyDescent="0.25">
      <c r="A73" s="56"/>
      <c r="B73" s="56"/>
      <c r="C73" s="56"/>
      <c r="D73" s="56"/>
      <c r="E73" s="56"/>
      <c r="F73" s="117"/>
      <c r="G73" s="56"/>
      <c r="H73" s="56"/>
      <c r="I73" s="56"/>
      <c r="J73" s="56"/>
      <c r="K73" s="56"/>
      <c r="L73" s="56"/>
      <c r="M73" s="56"/>
      <c r="N73" s="56"/>
      <c r="O73" s="56"/>
      <c r="P73" s="56"/>
    </row>
    <row r="74" spans="1:16" hidden="1" x14ac:dyDescent="0.25">
      <c r="A74" s="56"/>
      <c r="B74" s="56"/>
      <c r="C74" s="56"/>
      <c r="D74" s="56"/>
      <c r="E74" s="56"/>
      <c r="F74" s="117"/>
      <c r="G74" s="56"/>
      <c r="H74" s="56"/>
      <c r="I74" s="56"/>
      <c r="J74" s="56"/>
      <c r="K74" s="56"/>
      <c r="L74" s="56"/>
      <c r="M74" s="56"/>
      <c r="N74" s="56"/>
      <c r="O74" s="56"/>
      <c r="P74" s="56"/>
    </row>
    <row r="75" spans="1:16" hidden="1" x14ac:dyDescent="0.25">
      <c r="A75" s="56"/>
      <c r="B75" s="56"/>
      <c r="C75" s="56"/>
      <c r="D75" s="56"/>
      <c r="E75" s="56"/>
      <c r="F75" s="117"/>
      <c r="G75" s="56"/>
      <c r="H75" s="56"/>
      <c r="I75" s="56"/>
      <c r="J75" s="56"/>
      <c r="K75" s="56"/>
      <c r="L75" s="56"/>
      <c r="M75" s="56"/>
      <c r="N75" s="56"/>
      <c r="O75" s="56"/>
      <c r="P75" s="56"/>
    </row>
    <row r="76" spans="1:16" hidden="1" x14ac:dyDescent="0.25">
      <c r="A76" s="56"/>
      <c r="B76" s="56"/>
      <c r="C76" s="56"/>
      <c r="D76" s="56"/>
      <c r="E76" s="56"/>
      <c r="F76" s="117"/>
      <c r="G76" s="56"/>
      <c r="H76" s="56"/>
      <c r="I76" s="56"/>
      <c r="J76" s="56"/>
      <c r="K76" s="56"/>
      <c r="L76" s="56"/>
      <c r="M76" s="56"/>
      <c r="N76" s="56"/>
      <c r="O76" s="56"/>
      <c r="P76" s="56"/>
    </row>
    <row r="77" spans="1:16" hidden="1" x14ac:dyDescent="0.25">
      <c r="A77" s="56"/>
      <c r="B77" s="56"/>
      <c r="C77" s="56"/>
      <c r="D77" s="56"/>
      <c r="E77" s="56"/>
      <c r="F77" s="117"/>
      <c r="G77" s="56"/>
      <c r="H77" s="56"/>
      <c r="I77" s="56"/>
      <c r="J77" s="56"/>
      <c r="K77" s="56"/>
      <c r="L77" s="56"/>
      <c r="M77" s="56"/>
      <c r="N77" s="56"/>
      <c r="O77" s="56"/>
      <c r="P77" s="56"/>
    </row>
    <row r="78" spans="1:16" hidden="1" x14ac:dyDescent="0.25">
      <c r="A78" s="56"/>
      <c r="B78" s="56"/>
      <c r="C78" s="56"/>
      <c r="D78" s="56"/>
      <c r="E78" s="56"/>
      <c r="F78" s="117"/>
      <c r="G78" s="56"/>
      <c r="H78" s="56"/>
      <c r="I78" s="56"/>
      <c r="J78" s="56"/>
      <c r="K78" s="56"/>
      <c r="L78" s="56"/>
      <c r="M78" s="56"/>
      <c r="N78" s="56"/>
      <c r="O78" s="56"/>
      <c r="P78" s="56"/>
    </row>
    <row r="79" spans="1:16" hidden="1" x14ac:dyDescent="0.25">
      <c r="A79" s="56"/>
      <c r="B79" s="56"/>
      <c r="C79" s="56"/>
      <c r="D79" s="56"/>
      <c r="E79" s="56"/>
      <c r="F79" s="117"/>
      <c r="G79" s="56"/>
      <c r="H79" s="56"/>
      <c r="I79" s="56"/>
      <c r="J79" s="56"/>
      <c r="K79" s="56"/>
      <c r="L79" s="56"/>
      <c r="M79" s="56"/>
      <c r="N79" s="56"/>
      <c r="O79" s="56"/>
      <c r="P79" s="56"/>
    </row>
    <row r="80" spans="1:16" hidden="1" x14ac:dyDescent="0.25">
      <c r="A80" s="56"/>
      <c r="B80" s="56"/>
      <c r="C80" s="56"/>
      <c r="D80" s="56"/>
      <c r="E80" s="56"/>
      <c r="F80" s="117"/>
      <c r="G80" s="56"/>
      <c r="H80" s="56"/>
      <c r="I80" s="56"/>
      <c r="J80" s="56"/>
      <c r="K80" s="56"/>
      <c r="L80" s="56"/>
      <c r="M80" s="56"/>
      <c r="N80" s="56"/>
      <c r="O80" s="56"/>
      <c r="P80" s="56"/>
    </row>
    <row r="81" spans="1:16" hidden="1" x14ac:dyDescent="0.25">
      <c r="A81" s="56"/>
      <c r="B81" s="56"/>
      <c r="C81" s="56"/>
      <c r="D81" s="56"/>
      <c r="E81" s="56"/>
      <c r="F81" s="117"/>
      <c r="G81" s="56"/>
      <c r="H81" s="56"/>
      <c r="I81" s="56"/>
      <c r="J81" s="56"/>
      <c r="K81" s="56"/>
      <c r="L81" s="56"/>
      <c r="M81" s="56"/>
      <c r="N81" s="56"/>
      <c r="O81" s="56"/>
      <c r="P81" s="56"/>
    </row>
    <row r="82" spans="1:16" hidden="1" x14ac:dyDescent="0.25">
      <c r="A82" s="56"/>
      <c r="B82" s="56"/>
      <c r="C82" s="56"/>
      <c r="D82" s="56"/>
      <c r="E82" s="56"/>
      <c r="F82" s="117"/>
      <c r="G82" s="56"/>
      <c r="H82" s="56"/>
      <c r="I82" s="56"/>
      <c r="J82" s="56"/>
      <c r="K82" s="56"/>
      <c r="L82" s="56"/>
      <c r="M82" s="56"/>
      <c r="N82" s="56"/>
      <c r="O82" s="56"/>
      <c r="P82" s="56"/>
    </row>
    <row r="83" spans="1:16" hidden="1" x14ac:dyDescent="0.25">
      <c r="A83" s="56"/>
      <c r="B83" s="56"/>
      <c r="C83" s="56"/>
      <c r="D83" s="56"/>
      <c r="E83" s="56"/>
      <c r="F83" s="117"/>
      <c r="G83" s="56"/>
      <c r="H83" s="56"/>
      <c r="I83" s="56"/>
      <c r="J83" s="56"/>
      <c r="K83" s="56"/>
      <c r="L83" s="56"/>
      <c r="M83" s="56"/>
      <c r="N83" s="56"/>
      <c r="O83" s="56"/>
      <c r="P83" s="56"/>
    </row>
    <row r="84" spans="1:16" hidden="1" x14ac:dyDescent="0.25">
      <c r="A84" s="56"/>
      <c r="B84" s="56"/>
      <c r="C84" s="56"/>
      <c r="D84" s="56"/>
      <c r="E84" s="56"/>
      <c r="F84" s="117"/>
      <c r="G84" s="56"/>
      <c r="H84" s="56"/>
      <c r="I84" s="56"/>
      <c r="J84" s="56"/>
      <c r="K84" s="56"/>
      <c r="L84" s="56"/>
      <c r="M84" s="56"/>
      <c r="N84" s="56"/>
      <c r="O84" s="56"/>
      <c r="P84" s="56"/>
    </row>
    <row r="85" spans="1:16" hidden="1" x14ac:dyDescent="0.25">
      <c r="A85" s="56"/>
      <c r="B85" s="56"/>
      <c r="C85" s="56"/>
      <c r="D85" s="56"/>
      <c r="E85" s="56"/>
      <c r="F85" s="117"/>
      <c r="G85" s="56"/>
      <c r="H85" s="56"/>
      <c r="I85" s="56"/>
      <c r="J85" s="56"/>
      <c r="K85" s="56"/>
      <c r="L85" s="56"/>
      <c r="M85" s="56"/>
      <c r="N85" s="56"/>
      <c r="O85" s="56"/>
      <c r="P85" s="56"/>
    </row>
    <row r="86" spans="1:16" hidden="1" x14ac:dyDescent="0.25">
      <c r="A86" s="56"/>
      <c r="B86" s="56"/>
      <c r="C86" s="56"/>
      <c r="D86" s="56"/>
      <c r="E86" s="56"/>
      <c r="F86" s="117"/>
      <c r="G86" s="56"/>
      <c r="H86" s="56"/>
      <c r="I86" s="56"/>
      <c r="J86" s="56"/>
      <c r="K86" s="56"/>
      <c r="L86" s="56"/>
      <c r="M86" s="56"/>
      <c r="N86" s="56"/>
      <c r="O86" s="56"/>
      <c r="P86" s="56"/>
    </row>
    <row r="87" spans="1:16" hidden="1" x14ac:dyDescent="0.25">
      <c r="A87" s="56"/>
      <c r="B87" s="56"/>
      <c r="C87" s="56"/>
      <c r="D87" s="56"/>
      <c r="E87" s="56"/>
      <c r="F87" s="117"/>
      <c r="G87" s="56"/>
      <c r="H87" s="56"/>
      <c r="I87" s="56"/>
      <c r="J87" s="56"/>
      <c r="K87" s="56"/>
      <c r="L87" s="56"/>
      <c r="M87" s="56"/>
      <c r="N87" s="56"/>
      <c r="O87" s="56"/>
      <c r="P87" s="56"/>
    </row>
    <row r="88" spans="1:16" hidden="1" x14ac:dyDescent="0.25">
      <c r="A88" s="56"/>
      <c r="B88" s="56"/>
      <c r="C88" s="56"/>
      <c r="D88" s="56"/>
      <c r="E88" s="56"/>
      <c r="F88" s="117"/>
      <c r="G88" s="56"/>
      <c r="H88" s="56"/>
      <c r="I88" s="56"/>
      <c r="J88" s="56"/>
      <c r="K88" s="56"/>
      <c r="L88" s="56"/>
      <c r="M88" s="56"/>
      <c r="N88" s="56"/>
      <c r="O88" s="56"/>
      <c r="P88" s="56"/>
    </row>
    <row r="89" spans="1:16" hidden="1" x14ac:dyDescent="0.25">
      <c r="A89" s="56"/>
      <c r="B89" s="56"/>
      <c r="C89" s="56"/>
      <c r="D89" s="56"/>
      <c r="E89" s="56"/>
      <c r="F89" s="117"/>
      <c r="G89" s="56"/>
      <c r="H89" s="56"/>
      <c r="I89" s="56"/>
      <c r="J89" s="56"/>
      <c r="K89" s="56"/>
      <c r="L89" s="56"/>
      <c r="M89" s="56"/>
      <c r="N89" s="56"/>
      <c r="O89" s="56"/>
      <c r="P89" s="56"/>
    </row>
    <row r="90" spans="1:16" hidden="1" x14ac:dyDescent="0.25">
      <c r="A90" s="56"/>
      <c r="B90" s="56"/>
      <c r="C90" s="56"/>
      <c r="D90" s="56"/>
      <c r="E90" s="56"/>
      <c r="F90" s="117"/>
      <c r="G90" s="56"/>
      <c r="H90" s="56"/>
      <c r="I90" s="56"/>
      <c r="J90" s="56"/>
      <c r="K90" s="56"/>
      <c r="L90" s="56"/>
      <c r="M90" s="56"/>
      <c r="N90" s="56"/>
      <c r="O90" s="56"/>
      <c r="P90" s="56"/>
    </row>
    <row r="91" spans="1:16" hidden="1" x14ac:dyDescent="0.25">
      <c r="A91" s="56"/>
      <c r="B91" s="56"/>
      <c r="C91" s="56"/>
      <c r="D91" s="56"/>
      <c r="E91" s="56"/>
      <c r="F91" s="117"/>
      <c r="G91" s="56"/>
      <c r="H91" s="56"/>
      <c r="I91" s="56"/>
      <c r="J91" s="56"/>
      <c r="K91" s="56"/>
      <c r="L91" s="56"/>
      <c r="M91" s="56"/>
      <c r="N91" s="56"/>
      <c r="O91" s="56"/>
      <c r="P91" s="56"/>
    </row>
    <row r="92" spans="1:16" hidden="1" x14ac:dyDescent="0.25">
      <c r="A92" s="56"/>
      <c r="D92" s="56"/>
      <c r="E92" s="56"/>
      <c r="F92" s="117"/>
      <c r="G92" s="56"/>
      <c r="H92" s="56"/>
      <c r="I92" s="56"/>
      <c r="J92" s="56"/>
      <c r="K92" s="56"/>
      <c r="L92" s="56"/>
      <c r="M92" s="56"/>
      <c r="N92" s="56"/>
      <c r="O92" s="56"/>
      <c r="P92" s="56"/>
    </row>
    <row r="93" spans="1:16" hidden="1" x14ac:dyDescent="0.25">
      <c r="D93" s="56"/>
      <c r="E93" s="56"/>
      <c r="F93" s="117"/>
      <c r="G93" s="56"/>
      <c r="H93" s="56"/>
      <c r="I93" s="56"/>
      <c r="J93" s="56"/>
      <c r="K93" s="56"/>
      <c r="L93" s="56"/>
      <c r="M93" s="56"/>
      <c r="N93" s="56"/>
      <c r="O93" s="56"/>
      <c r="P93" s="56"/>
    </row>
    <row r="94" spans="1:16" hidden="1" x14ac:dyDescent="0.25">
      <c r="D94" s="56"/>
      <c r="E94" s="56"/>
      <c r="F94" s="117"/>
      <c r="G94" s="56"/>
      <c r="H94" s="56"/>
      <c r="I94" s="56"/>
      <c r="J94" s="56"/>
      <c r="K94" s="56"/>
      <c r="L94" s="56"/>
      <c r="M94" s="56"/>
      <c r="N94" s="56"/>
      <c r="O94" s="56"/>
      <c r="P94" s="56"/>
    </row>
    <row r="95" spans="1:16" hidden="1" x14ac:dyDescent="0.25">
      <c r="D95" s="56"/>
      <c r="E95" s="56"/>
      <c r="F95" s="117"/>
      <c r="G95" s="56"/>
      <c r="H95" s="56"/>
      <c r="I95" s="56"/>
      <c r="J95" s="56"/>
      <c r="K95" s="56"/>
      <c r="L95" s="56"/>
      <c r="M95" s="56"/>
      <c r="N95" s="56"/>
      <c r="O95" s="56"/>
      <c r="P95" s="56"/>
    </row>
    <row r="96" spans="1:16" hidden="1" x14ac:dyDescent="0.25">
      <c r="D96" s="56"/>
      <c r="E96" s="56"/>
      <c r="F96" s="117"/>
      <c r="G96" s="56"/>
      <c r="H96" s="56"/>
      <c r="I96" s="56"/>
      <c r="J96" s="56"/>
      <c r="K96" s="56"/>
      <c r="L96" s="56"/>
      <c r="M96" s="56"/>
      <c r="N96" s="56"/>
      <c r="O96" s="56"/>
      <c r="P96" s="56"/>
    </row>
    <row r="97" spans="4:16" hidden="1" x14ac:dyDescent="0.25">
      <c r="D97" s="56"/>
      <c r="E97" s="56"/>
      <c r="F97" s="117"/>
      <c r="G97" s="56"/>
      <c r="H97" s="56"/>
      <c r="I97" s="56"/>
      <c r="J97" s="56"/>
      <c r="K97" s="56"/>
      <c r="L97" s="56"/>
      <c r="M97" s="56"/>
      <c r="N97" s="56"/>
      <c r="O97" s="56"/>
      <c r="P97" s="56"/>
    </row>
    <row r="98" spans="4:16" hidden="1" x14ac:dyDescent="0.25">
      <c r="D98" s="56"/>
      <c r="E98" s="56"/>
      <c r="F98" s="117"/>
      <c r="G98" s="56"/>
      <c r="H98" s="56"/>
      <c r="I98" s="56"/>
      <c r="J98" s="56"/>
      <c r="K98" s="56"/>
      <c r="L98" s="56"/>
      <c r="M98" s="56"/>
      <c r="N98" s="56"/>
      <c r="O98" s="56"/>
      <c r="P98" s="56"/>
    </row>
    <row r="99" spans="4:16" hidden="1" x14ac:dyDescent="0.25">
      <c r="F99" s="117"/>
      <c r="G99" s="56"/>
      <c r="H99" s="56"/>
      <c r="I99" s="56"/>
      <c r="J99" s="56"/>
      <c r="K99" s="56"/>
      <c r="L99" s="56"/>
      <c r="M99" s="56"/>
      <c r="N99" s="56"/>
      <c r="O99" s="56"/>
      <c r="P99" s="56"/>
    </row>
    <row r="100" spans="4:16" hidden="1" x14ac:dyDescent="0.25">
      <c r="F100" s="117"/>
      <c r="G100" s="56"/>
      <c r="H100" s="56"/>
      <c r="I100" s="56"/>
      <c r="J100" s="56"/>
      <c r="K100" s="56"/>
      <c r="L100" s="56"/>
      <c r="M100" s="56"/>
      <c r="N100" s="56"/>
      <c r="O100" s="56"/>
      <c r="P100" s="56"/>
    </row>
    <row r="101" spans="4:16" hidden="1" x14ac:dyDescent="0.25">
      <c r="F101" s="117"/>
      <c r="G101" s="56"/>
      <c r="H101" s="56"/>
      <c r="I101" s="56"/>
      <c r="J101" s="56"/>
      <c r="K101" s="56"/>
      <c r="L101" s="56"/>
      <c r="M101" s="56"/>
      <c r="N101" s="56"/>
      <c r="O101" s="56"/>
      <c r="P101" s="56"/>
    </row>
    <row r="102" spans="4:16" hidden="1" x14ac:dyDescent="0.25">
      <c r="F102" s="117"/>
      <c r="G102" s="56"/>
      <c r="H102" s="56"/>
      <c r="I102" s="56"/>
      <c r="J102" s="56"/>
      <c r="K102" s="56"/>
      <c r="L102" s="56"/>
      <c r="M102" s="56"/>
      <c r="N102" s="56"/>
      <c r="O102" s="56"/>
      <c r="P102" s="56"/>
    </row>
    <row r="103" spans="4:16" hidden="1" x14ac:dyDescent="0.25">
      <c r="F103" s="117"/>
      <c r="G103" s="56"/>
      <c r="H103" s="56"/>
      <c r="I103" s="56"/>
      <c r="J103" s="56"/>
      <c r="K103" s="56"/>
      <c r="L103" s="56"/>
      <c r="M103" s="56"/>
      <c r="N103" s="56"/>
      <c r="O103" s="56"/>
      <c r="P103" s="56"/>
    </row>
    <row r="104" spans="4:16" hidden="1" x14ac:dyDescent="0.25">
      <c r="F104" s="117"/>
      <c r="G104" s="56"/>
      <c r="H104" s="56"/>
      <c r="I104" s="56"/>
      <c r="J104" s="56"/>
      <c r="K104" s="56"/>
      <c r="L104" s="56"/>
      <c r="M104" s="56"/>
      <c r="N104" s="56"/>
      <c r="O104" s="56"/>
      <c r="P104" s="56"/>
    </row>
    <row r="105" spans="4:16" hidden="1" x14ac:dyDescent="0.25">
      <c r="F105" s="117"/>
      <c r="G105" s="56"/>
      <c r="H105" s="56"/>
      <c r="I105" s="56"/>
      <c r="J105" s="56"/>
      <c r="K105" s="56"/>
      <c r="L105" s="56"/>
      <c r="M105" s="56"/>
      <c r="N105" s="56"/>
      <c r="O105" s="56"/>
      <c r="P105" s="56"/>
    </row>
    <row r="106" spans="4:16" hidden="1" x14ac:dyDescent="0.25">
      <c r="F106" s="117"/>
      <c r="G106" s="56"/>
      <c r="H106" s="56"/>
      <c r="I106" s="56"/>
      <c r="J106" s="56"/>
      <c r="K106" s="56"/>
      <c r="L106" s="56"/>
      <c r="M106" s="56"/>
      <c r="N106" s="56"/>
      <c r="O106" s="56"/>
      <c r="P106" s="56"/>
    </row>
    <row r="107" spans="4:16" hidden="1" x14ac:dyDescent="0.25">
      <c r="F107" s="117"/>
      <c r="G107" s="56"/>
      <c r="H107" s="56"/>
      <c r="I107" s="56"/>
      <c r="J107" s="56"/>
      <c r="K107" s="56"/>
      <c r="L107" s="56"/>
      <c r="M107" s="56"/>
      <c r="N107" s="56"/>
      <c r="O107" s="56"/>
      <c r="P107" s="56"/>
    </row>
    <row r="108" spans="4:16" hidden="1" x14ac:dyDescent="0.25">
      <c r="F108" s="117"/>
      <c r="G108" s="56"/>
      <c r="H108" s="56"/>
      <c r="I108" s="56"/>
      <c r="J108" s="56"/>
      <c r="K108" s="56"/>
      <c r="L108" s="56"/>
      <c r="M108" s="56"/>
      <c r="N108" s="56"/>
      <c r="O108" s="56"/>
      <c r="P108" s="56"/>
    </row>
    <row r="109" spans="4:16" hidden="1" x14ac:dyDescent="0.25">
      <c r="K109" s="56"/>
      <c r="L109" s="56"/>
      <c r="M109" s="56"/>
      <c r="N109" s="56"/>
      <c r="O109" s="56"/>
      <c r="P109" s="56"/>
    </row>
  </sheetData>
  <sheetProtection algorithmName="SHA-512" hashValue="U6q/tzXf+IqOXreB4PO8FXCHc2ER4xs3Q8XzvZVmaobySbt3P1ZkXKPqCdPVbiHW3kmzNUKrg6ew9vG+j3v2VQ==" saltValue="qXbvgHivKf3FWCrWJCVLZQ==" spinCount="100000" sheet="1" objects="1" scenarios="1"/>
  <scenarios current="0" show="0">
    <scenario name="t" locked="1" count="1" user="Dustin Jennings" comment="Created by Dustin Jennings on 3/29/2011">
      <inputCells r="E9" val="46625"/>
    </scenario>
  </scenarios>
  <dataConsolidate/>
  <mergeCells count="85">
    <mergeCell ref="A49:L49"/>
    <mergeCell ref="F48:L48"/>
    <mergeCell ref="F41:L41"/>
    <mergeCell ref="F42:L42"/>
    <mergeCell ref="F43:L43"/>
    <mergeCell ref="F44:L44"/>
    <mergeCell ref="F45:L45"/>
    <mergeCell ref="F46:L46"/>
    <mergeCell ref="F47:L47"/>
    <mergeCell ref="A48:C48"/>
    <mergeCell ref="A45:C45"/>
    <mergeCell ref="A41:C41"/>
    <mergeCell ref="A43:C43"/>
    <mergeCell ref="A44:C44"/>
    <mergeCell ref="D48:E48"/>
    <mergeCell ref="D41:E41"/>
    <mergeCell ref="F40:L40"/>
    <mergeCell ref="A40:C40"/>
    <mergeCell ref="A33:C33"/>
    <mergeCell ref="A36:C36"/>
    <mergeCell ref="A34:L34"/>
    <mergeCell ref="D40:E40"/>
    <mergeCell ref="F37:L37"/>
    <mergeCell ref="F38:L38"/>
    <mergeCell ref="F39:L39"/>
    <mergeCell ref="A38:C38"/>
    <mergeCell ref="D38:E38"/>
    <mergeCell ref="A37:C37"/>
    <mergeCell ref="D37:E37"/>
    <mergeCell ref="D39:E39"/>
    <mergeCell ref="A39:C39"/>
    <mergeCell ref="D47:E47"/>
    <mergeCell ref="A35:C35"/>
    <mergeCell ref="A46:C46"/>
    <mergeCell ref="A47:C47"/>
    <mergeCell ref="A42:C42"/>
    <mergeCell ref="D42:E42"/>
    <mergeCell ref="D43:E43"/>
    <mergeCell ref="D44:E44"/>
    <mergeCell ref="D45:E45"/>
    <mergeCell ref="D46:E46"/>
    <mergeCell ref="A12:C12"/>
    <mergeCell ref="A9:B9"/>
    <mergeCell ref="F36:L36"/>
    <mergeCell ref="D36:E36"/>
    <mergeCell ref="A30:C30"/>
    <mergeCell ref="A31:C31"/>
    <mergeCell ref="A26:C26"/>
    <mergeCell ref="D35:E35"/>
    <mergeCell ref="F35:L35"/>
    <mergeCell ref="A10:B10"/>
    <mergeCell ref="A23:C23"/>
    <mergeCell ref="A11:C11"/>
    <mergeCell ref="A27:C27"/>
    <mergeCell ref="A28:C28"/>
    <mergeCell ref="A29:C29"/>
    <mergeCell ref="A32:C32"/>
    <mergeCell ref="A25:B25"/>
    <mergeCell ref="A24:B24"/>
    <mergeCell ref="A22:L22"/>
    <mergeCell ref="A14:C14"/>
    <mergeCell ref="A20:D20"/>
    <mergeCell ref="A21:D21"/>
    <mergeCell ref="A18:C18"/>
    <mergeCell ref="I20:K20"/>
    <mergeCell ref="I21:K21"/>
    <mergeCell ref="A19:L19"/>
    <mergeCell ref="F20:H20"/>
    <mergeCell ref="F21:H21"/>
    <mergeCell ref="A1:L1"/>
    <mergeCell ref="A3:L3"/>
    <mergeCell ref="A2:L2"/>
    <mergeCell ref="A4:L4"/>
    <mergeCell ref="A17:C17"/>
    <mergeCell ref="A5:D5"/>
    <mergeCell ref="I5:K5"/>
    <mergeCell ref="I6:K6"/>
    <mergeCell ref="F5:H5"/>
    <mergeCell ref="F6:H6"/>
    <mergeCell ref="A15:C15"/>
    <mergeCell ref="A16:C16"/>
    <mergeCell ref="A6:D6"/>
    <mergeCell ref="A7:L7"/>
    <mergeCell ref="A13:C13"/>
    <mergeCell ref="A8:C8"/>
  </mergeCells>
  <conditionalFormatting sqref="E20">
    <cfRule type="expression" dxfId="117" priority="87">
      <formula>#REF!="yes"</formula>
    </cfRule>
  </conditionalFormatting>
  <conditionalFormatting sqref="M19">
    <cfRule type="iconSet" priority="162">
      <iconSet iconSet="3Arrows">
        <cfvo type="percent" val="0"/>
        <cfvo type="percent" val="33"/>
        <cfvo type="percent" val="67"/>
      </iconSet>
    </cfRule>
  </conditionalFormatting>
  <conditionalFormatting sqref="E9:E12">
    <cfRule type="expression" dxfId="116" priority="349">
      <formula>$E$5&gt;=2</formula>
    </cfRule>
  </conditionalFormatting>
  <conditionalFormatting sqref="F9:F12">
    <cfRule type="expression" dxfId="115" priority="350">
      <formula>$E$5&gt;=3</formula>
    </cfRule>
  </conditionalFormatting>
  <conditionalFormatting sqref="G9:G12">
    <cfRule type="expression" dxfId="114" priority="346">
      <formula>$E$5&gt;=4</formula>
    </cfRule>
  </conditionalFormatting>
  <conditionalFormatting sqref="H8:H12">
    <cfRule type="expression" dxfId="113" priority="347">
      <formula>$E$5&gt;=5</formula>
    </cfRule>
  </conditionalFormatting>
  <conditionalFormatting sqref="E8">
    <cfRule type="expression" dxfId="112" priority="348">
      <formula>$E$5&gt;=2</formula>
    </cfRule>
  </conditionalFormatting>
  <conditionalFormatting sqref="D8:D12">
    <cfRule type="expression" dxfId="111" priority="364">
      <formula>$E$5&gt;=1</formula>
    </cfRule>
  </conditionalFormatting>
  <conditionalFormatting sqref="F8">
    <cfRule type="expression" dxfId="110" priority="372">
      <formula>$E$5&gt;=3</formula>
    </cfRule>
  </conditionalFormatting>
  <conditionalFormatting sqref="G8">
    <cfRule type="expression" dxfId="109" priority="351">
      <formula>$E$5&gt;=4</formula>
    </cfRule>
  </conditionalFormatting>
  <conditionalFormatting sqref="H8">
    <cfRule type="expression" dxfId="108" priority="352">
      <formula>$E$5&gt;=5</formula>
    </cfRule>
  </conditionalFormatting>
  <conditionalFormatting sqref="I9:I12">
    <cfRule type="expression" dxfId="107" priority="353">
      <formula>$E$5&gt;=6</formula>
    </cfRule>
  </conditionalFormatting>
  <conditionalFormatting sqref="I8">
    <cfRule type="expression" dxfId="106" priority="354">
      <formula>$E$5&gt;=6</formula>
    </cfRule>
  </conditionalFormatting>
  <conditionalFormatting sqref="J8:J18">
    <cfRule type="expression" dxfId="105" priority="355">
      <formula>$E$5&gt;=6</formula>
    </cfRule>
  </conditionalFormatting>
  <conditionalFormatting sqref="J8">
    <cfRule type="expression" dxfId="104" priority="356">
      <formula>$E$5&gt;=7</formula>
    </cfRule>
  </conditionalFormatting>
  <conditionalFormatting sqref="K8:K18">
    <cfRule type="expression" dxfId="103" priority="357">
      <formula>$E$5&gt;=7</formula>
    </cfRule>
  </conditionalFormatting>
  <conditionalFormatting sqref="J9:J12">
    <cfRule type="expression" dxfId="102" priority="358">
      <formula>$E$5&gt;=7</formula>
    </cfRule>
  </conditionalFormatting>
  <conditionalFormatting sqref="K8">
    <cfRule type="expression" dxfId="101" priority="359">
      <formula>$E$5&gt;=8</formula>
    </cfRule>
  </conditionalFormatting>
  <conditionalFormatting sqref="L8:L18">
    <cfRule type="expression" dxfId="100" priority="360">
      <formula>$E$5&gt;=8</formula>
    </cfRule>
  </conditionalFormatting>
  <conditionalFormatting sqref="K9:K12">
    <cfRule type="expression" dxfId="99" priority="361">
      <formula>$E$5&gt;=8</formula>
    </cfRule>
  </conditionalFormatting>
  <conditionalFormatting sqref="L8">
    <cfRule type="expression" dxfId="98" priority="362">
      <formula>$E$5&gt;=9</formula>
    </cfRule>
  </conditionalFormatting>
  <conditionalFormatting sqref="L9:L12">
    <cfRule type="expression" dxfId="97" priority="363">
      <formula>$E$5&gt;=9</formula>
    </cfRule>
  </conditionalFormatting>
  <conditionalFormatting sqref="D9:L9 D10:L10">
    <cfRule type="expression" dxfId="96" priority="344">
      <formula>$E$6="Yes"</formula>
    </cfRule>
  </conditionalFormatting>
  <conditionalFormatting sqref="D13:D18">
    <cfRule type="expression" dxfId="95" priority="365">
      <formula>$E$5=0</formula>
    </cfRule>
  </conditionalFormatting>
  <conditionalFormatting sqref="D8:D18">
    <cfRule type="expression" dxfId="94" priority="367">
      <formula>$E$5=0</formula>
    </cfRule>
    <cfRule type="expression" dxfId="93" priority="368">
      <formula>$E$5&gt;0</formula>
    </cfRule>
  </conditionalFormatting>
  <conditionalFormatting sqref="E8:E18">
    <cfRule type="expression" dxfId="92" priority="369">
      <formula>$E$5=1</formula>
    </cfRule>
    <cfRule type="expression" dxfId="91" priority="370">
      <formula>$E$5=0</formula>
    </cfRule>
    <cfRule type="expression" dxfId="90" priority="371">
      <formula>$E$5=2</formula>
    </cfRule>
  </conditionalFormatting>
  <conditionalFormatting sqref="F8:F18">
    <cfRule type="expression" dxfId="89" priority="345">
      <formula>$E$5&gt;=3</formula>
    </cfRule>
  </conditionalFormatting>
  <conditionalFormatting sqref="H8:H18">
    <cfRule type="expression" dxfId="88" priority="373">
      <formula>$E$5&gt;=5</formula>
    </cfRule>
    <cfRule type="expression" dxfId="87" priority="374">
      <formula>$E$5&lt;=4</formula>
    </cfRule>
  </conditionalFormatting>
  <conditionalFormatting sqref="G8:G18">
    <cfRule type="expression" dxfId="86" priority="375">
      <formula>$E$5&gt;=4</formula>
    </cfRule>
  </conditionalFormatting>
  <conditionalFormatting sqref="H13:H18">
    <cfRule type="expression" dxfId="85" priority="376">
      <formula>$E$5=5</formula>
    </cfRule>
  </conditionalFormatting>
  <conditionalFormatting sqref="I8:I18">
    <cfRule type="expression" dxfId="84" priority="377">
      <formula>$E$5=6</formula>
    </cfRule>
  </conditionalFormatting>
  <conditionalFormatting sqref="E5">
    <cfRule type="expression" dxfId="83" priority="406">
      <formula>$E21="yes"</formula>
    </cfRule>
  </conditionalFormatting>
  <conditionalFormatting sqref="E24:E27">
    <cfRule type="expression" dxfId="82" priority="416">
      <formula>$E$20&gt;=2</formula>
    </cfRule>
  </conditionalFormatting>
  <conditionalFormatting sqref="E23">
    <cfRule type="expression" dxfId="81" priority="408">
      <formula>$E$20&gt;=2</formula>
    </cfRule>
  </conditionalFormatting>
  <conditionalFormatting sqref="F23">
    <cfRule type="expression" dxfId="80" priority="409">
      <formula>$E$20&gt;=3</formula>
    </cfRule>
  </conditionalFormatting>
  <conditionalFormatting sqref="G23">
    <cfRule type="expression" dxfId="79" priority="410">
      <formula>$E$20&gt;=4</formula>
    </cfRule>
  </conditionalFormatting>
  <conditionalFormatting sqref="H23">
    <cfRule type="expression" dxfId="78" priority="411">
      <formula>$E$20&gt;=5</formula>
    </cfRule>
  </conditionalFormatting>
  <conditionalFormatting sqref="I23">
    <cfRule type="expression" dxfId="77" priority="412">
      <formula>$E$20&gt;=6</formula>
    </cfRule>
  </conditionalFormatting>
  <conditionalFormatting sqref="J23">
    <cfRule type="expression" dxfId="76" priority="413">
      <formula>$E$20&gt;=7</formula>
    </cfRule>
  </conditionalFormatting>
  <conditionalFormatting sqref="K23">
    <cfRule type="expression" dxfId="75" priority="414">
      <formula>$E$20&gt;=8</formula>
    </cfRule>
  </conditionalFormatting>
  <conditionalFormatting sqref="L23">
    <cfRule type="expression" dxfId="74" priority="415">
      <formula>$E$20&gt;=9</formula>
    </cfRule>
  </conditionalFormatting>
  <conditionalFormatting sqref="E23:E33">
    <cfRule type="expression" dxfId="73" priority="433">
      <formula>$E$20&gt;=2</formula>
    </cfRule>
  </conditionalFormatting>
  <conditionalFormatting sqref="F23:F33">
    <cfRule type="expression" dxfId="72" priority="417">
      <formula>$E$20&gt;=3</formula>
    </cfRule>
  </conditionalFormatting>
  <conditionalFormatting sqref="F24:F27">
    <cfRule type="expression" dxfId="71" priority="418">
      <formula>$E$20&gt;=3</formula>
    </cfRule>
  </conditionalFormatting>
  <conditionalFormatting sqref="G23:G33">
    <cfRule type="expression" dxfId="70" priority="419">
      <formula>$E$20&gt;=4</formula>
    </cfRule>
  </conditionalFormatting>
  <conditionalFormatting sqref="H23:H33">
    <cfRule type="expression" dxfId="69" priority="420">
      <formula>$E$20&gt;=5</formula>
    </cfRule>
  </conditionalFormatting>
  <conditionalFormatting sqref="I23:I33">
    <cfRule type="expression" dxfId="68" priority="421">
      <formula>$E$20&gt;=6</formula>
    </cfRule>
  </conditionalFormatting>
  <conditionalFormatting sqref="J23:J33">
    <cfRule type="expression" dxfId="67" priority="422">
      <formula>$E$20&gt;=7</formula>
    </cfRule>
  </conditionalFormatting>
  <conditionalFormatting sqref="K23:K33">
    <cfRule type="expression" dxfId="66" priority="423">
      <formula>$E$20&gt;=8</formula>
    </cfRule>
  </conditionalFormatting>
  <conditionalFormatting sqref="L23:L33">
    <cfRule type="expression" dxfId="65" priority="424">
      <formula>$E$20&gt;=9</formula>
    </cfRule>
  </conditionalFormatting>
  <conditionalFormatting sqref="G24:G27">
    <cfRule type="expression" dxfId="64" priority="425">
      <formula>$E$20&gt;=4</formula>
    </cfRule>
  </conditionalFormatting>
  <conditionalFormatting sqref="H24:H27">
    <cfRule type="expression" dxfId="63" priority="426">
      <formula>$E$20&gt;=5</formula>
    </cfRule>
  </conditionalFormatting>
  <conditionalFormatting sqref="I24:I27">
    <cfRule type="expression" dxfId="62" priority="427">
      <formula>$E$20&gt;=6</formula>
    </cfRule>
  </conditionalFormatting>
  <conditionalFormatting sqref="J24:J27">
    <cfRule type="expression" dxfId="61" priority="428">
      <formula>$E$20&gt;=7</formula>
    </cfRule>
  </conditionalFormatting>
  <conditionalFormatting sqref="K24:K27">
    <cfRule type="expression" dxfId="60" priority="429">
      <formula>$E$20&gt;=8</formula>
    </cfRule>
  </conditionalFormatting>
  <conditionalFormatting sqref="L24:L27">
    <cfRule type="expression" dxfId="59" priority="430">
      <formula>$E$20&gt;=9</formula>
    </cfRule>
  </conditionalFormatting>
  <conditionalFormatting sqref="F24:F26">
    <cfRule type="expression" dxfId="58" priority="431">
      <formula>$E$21="Yes"</formula>
    </cfRule>
  </conditionalFormatting>
  <conditionalFormatting sqref="D23:D33">
    <cfRule type="expression" dxfId="57" priority="432">
      <formula>$E$20=0</formula>
    </cfRule>
  </conditionalFormatting>
  <conditionalFormatting sqref="D24:L24 D25:L25">
    <cfRule type="expression" dxfId="56" priority="407">
      <formula>$E$21="Yes"</formula>
    </cfRule>
  </conditionalFormatting>
  <dataValidations xWindow="689" yWindow="363" count="21">
    <dataValidation type="list" allowBlank="1" showInputMessage="1" showErrorMessage="1" sqref="M37" xr:uid="{9220438D-6756-4AC6-AD8A-2FA5410EB977}">
      <formula1>"wet material, water sprays, chemical foam, partial enclosure, full enclosure, enclosed by building, washed material, washed material with water spray"</formula1>
    </dataValidation>
    <dataValidation allowBlank="1" showInputMessage="1" showErrorMessage="1" prompt="Enter the efficiency rating for the method used to control emissions from this material transfer point.  " sqref="D12:L12" xr:uid="{00C42D54-5906-4016-93ED-F251EAD13C44}"/>
    <dataValidation allowBlank="1" showInputMessage="1" showErrorMessage="1" prompt="Enter the efficiency rating for the method used to control emissions from this sand transfer point.  " sqref="D27:L27" xr:uid="{515D4DB0-C052-40B1-83EC-221349B11A16}"/>
    <dataValidation type="list" allowBlank="1" showInputMessage="1" showErrorMessage="1" prompt="Select &quot;Yes&quot; or &quot;No&quot;." sqref="E21 E6" xr:uid="{7C392C5E-60E6-4779-BC9C-86B03E2DF458}">
      <formula1>List11</formula1>
    </dataValidation>
    <dataValidation allowBlank="1" showInputMessage="1" showErrorMessage="1" prompt="Enter the stockpile area in number of acres.  " sqref="D36:E36" xr:uid="{B9B037FA-498F-4C0E-B5B5-03038F96842E}"/>
    <dataValidation allowBlank="1" showInputMessage="1" showErrorMessage="1" prompt="Enter the emission control method used for stockpiles.  " sqref="D37:E37" xr:uid="{8414A115-2FB0-4635-89FA-6817B8CBC73A}"/>
    <dataValidation allowBlank="1" showInputMessage="1" showErrorMessage="1" prompt="Enter the control efficiency rating for the stockpile emission control method.  " sqref="D38:E38" xr:uid="{F1F0A657-CAAF-40DD-9F71-7ECE5E885415}"/>
    <dataValidation allowBlank="1" showInputMessage="1" showErrorMessage="1" prompt="Enter the number of active days per year for stockpile(s)." sqref="D39:E39" xr:uid="{22CEDED5-D1C5-492C-8BB0-A8D4E784EA2A}"/>
    <dataValidation allowBlank="1" showInputMessage="1" showErrorMessage="1" prompt="If you selected &quot;No' in cell E6, use this cell to enter the hourly mass flow rate in tons per hour for the EPN listed above._x000a__x000a_If you selected &quot;Yes&quot; in cell E6, no action is needed.  Proceed to the row labeled Control Type.    " sqref="D9:E9 G9 I9:L9" xr:uid="{C5498E4B-1552-4B9F-9C0A-0DBFDC7D7F4C}"/>
    <dataValidation allowBlank="1" showInputMessage="1" showErrorMessage="1" prompt="Use this cell to enter the EPN for a coarse aggregate transfer point." sqref="E8:L8 D8" xr:uid="{0ADC584F-0584-491A-A7B8-670C1DE3A6CD}"/>
    <dataValidation allowBlank="1" showInputMessage="1" showErrorMessage="1" prompt="Use this cell to enter the EPN for a sand transfer point." sqref="D23:L23" xr:uid="{C462724B-CF11-4909-AAF6-D5EF1B561C39}"/>
    <dataValidation allowBlank="1" showInputMessage="1" showErrorMessage="1" prompt="If you selected &quot;No' in cell E21, use this cell to enter the hourly mass flow rate in tons per hour for the EPN listed above._x000a__x000a_If you selected &quot;Yes&quot; in cell E21, no action is needed.  Proceed to the row labeled Control Type.    " sqref="D24:L24" xr:uid="{B5633B40-5D56-4005-8C16-F215616D1E9B}"/>
    <dataValidation allowBlank="1" showInputMessage="1" showErrorMessage="1" prompt="Enter the method used to control emissions from this sand transfer point." sqref="D26:L26" xr:uid="{8B8C1A4A-C293-4058-84F9-C22F0BBCD055}"/>
    <dataValidation type="list" allowBlank="1" showInputMessage="1" showErrorMessage="1" prompt="Select the number of sand transfer points from the drop-down menu.  " sqref="E20" xr:uid="{044EDED3-9BE0-43A6-B3CA-F104214A913A}">
      <formula1>List5</formula1>
    </dataValidation>
    <dataValidation type="list" allowBlank="1" showInputMessage="1" showErrorMessage="1" prompt="Select the number of coarse aggregate transfer points from the drop-down menu. " sqref="E5" xr:uid="{40D74663-DC50-408D-97BA-E027087E9033}">
      <formula1>List5</formula1>
    </dataValidation>
    <dataValidation allowBlank="1" showInputMessage="1" showErrorMessage="1" prompt="Enter the method used to control emissions from this material transfer point." sqref="D11:L11" xr:uid="{1236A261-2E64-4C56-9624-437B703BC509}"/>
    <dataValidation allowBlank="1" showInputMessage="1" showErrorMessage="1" prompt="If you selected &quot;No&quot; in cell E6, use this cell to enter the annual mass flow rate in tons per year for the EPN listed above.  _x000a__x000a_If you selected &quot;Yes&quot; in cell E6, no action is needed.  Proceed to the next row.  " sqref="D10 F10:L10 E10" xr:uid="{32C4461D-42E9-4F6F-8D00-43388893CD89}"/>
    <dataValidation allowBlank="1" showInputMessage="1" showErrorMessage="1" prompt="If you selected &quot;No' in cell E6, use this cells to enter the hourly mass flow rate in tons per hour for the EPN listed above._x000a__x000a_If you selected &quot;Yes&quot; in cell E6, no action is needed.  Proceed to the row labeled Control Type.    " sqref="F9" xr:uid="{7453AA2D-DBEC-4200-BBC5-E4C9688096F1}"/>
    <dataValidation allowBlank="1" showInputMessage="1" showErrorMessage="1" prompt="If you selected &quot;No' in cell E6, use this cell to enter the hourly mass flow rate in tons per hour for the EPN listed above._x000a__x000a_If you selected &quot;Yes&quot; in cell E6, no action is needed.  Proceed to the row labeled Contol Type.    " sqref="H9" xr:uid="{8BB1EDF3-00EC-4307-B102-BA895E9DABB8}"/>
    <dataValidation allowBlank="1" showInputMessage="1" showErrorMessage="1" prompt="If you selected &quot;No&quot; in cell E21, use this cell to enter the annual mass flow rate in tons per year for the EPN listed above.  _x000a__x000a_If you selected &quot;Yes&quot; in cell E21, no action is needed.  Proceed to the next row.  " sqref="D25:L25" xr:uid="{7344603D-9292-480A-8E6D-DC9C1BABF5F9}"/>
    <dataValidation allowBlank="1" showInputMessage="1" showErrorMessage="1" prompt="Enter the designated EPN for your stockpiles.  " sqref="D35:E35" xr:uid="{490C2696-E5E2-4794-80CB-E076F42A7F81}"/>
  </dataValidations>
  <pageMargins left="0.25" right="0.25" top="0.75" bottom="0.75" header="0.3" footer="0.3"/>
  <pageSetup scale="85" fitToHeight="0" pageOrder="overThenDown"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A63"/>
  <sheetViews>
    <sheetView zoomScaleNormal="100" workbookViewId="0">
      <selection activeCell="G23" sqref="G23:H23"/>
    </sheetView>
  </sheetViews>
  <sheetFormatPr defaultColWidth="0" defaultRowHeight="15" zeroHeight="1" x14ac:dyDescent="0.25"/>
  <cols>
    <col min="1" max="1" width="11.140625" style="19" customWidth="1"/>
    <col min="2" max="2" width="12.42578125" style="19" customWidth="1"/>
    <col min="3" max="3" width="11.42578125" style="19" customWidth="1"/>
    <col min="4" max="4" width="4.28515625" style="19" customWidth="1"/>
    <col min="5" max="8" width="12.5703125" style="19" customWidth="1"/>
    <col min="9" max="9" width="12.5703125" style="19" hidden="1" customWidth="1"/>
    <col min="10" max="10" width="15.5703125" style="19" hidden="1" customWidth="1"/>
    <col min="11" max="11" width="11.140625" style="19" hidden="1" customWidth="1"/>
    <col min="12" max="12" width="8.7109375" style="19" hidden="1" customWidth="1"/>
    <col min="13" max="13" width="9.85546875" style="19" hidden="1" customWidth="1"/>
    <col min="14" max="14" width="10.5703125" style="19" hidden="1" customWidth="1"/>
    <col min="15" max="15" width="11.7109375" style="19" hidden="1" customWidth="1"/>
    <col min="16" max="27" width="0" style="19" hidden="1" customWidth="1"/>
    <col min="28" max="16384" width="9.140625" style="19" hidden="1"/>
  </cols>
  <sheetData>
    <row r="1" spans="1:24" ht="11.25" customHeight="1" x14ac:dyDescent="0.25">
      <c r="A1" s="241" t="s">
        <v>140</v>
      </c>
      <c r="B1" s="241"/>
      <c r="C1" s="241"/>
      <c r="D1" s="241"/>
      <c r="E1" s="241"/>
      <c r="F1" s="241"/>
      <c r="G1" s="241"/>
      <c r="H1" s="241"/>
      <c r="I1" s="56"/>
      <c r="J1" s="56"/>
      <c r="O1" s="47"/>
    </row>
    <row r="2" spans="1:24" ht="36" customHeight="1" x14ac:dyDescent="0.25">
      <c r="A2" s="322" t="s">
        <v>128</v>
      </c>
      <c r="B2" s="322"/>
      <c r="C2" s="322"/>
      <c r="D2" s="322"/>
      <c r="E2" s="322"/>
      <c r="F2" s="322"/>
      <c r="G2" s="322"/>
      <c r="H2" s="322"/>
      <c r="I2" s="56"/>
      <c r="J2" s="56"/>
      <c r="O2" s="54"/>
    </row>
    <row r="3" spans="1:24" ht="63" customHeight="1" x14ac:dyDescent="0.25">
      <c r="A3" s="334" t="s">
        <v>156</v>
      </c>
      <c r="B3" s="335"/>
      <c r="C3" s="335"/>
      <c r="D3" s="335"/>
      <c r="E3" s="335"/>
      <c r="F3" s="335"/>
      <c r="G3" s="335"/>
      <c r="H3" s="335"/>
      <c r="I3" s="56"/>
      <c r="J3" s="56"/>
      <c r="O3" s="54"/>
    </row>
    <row r="4" spans="1:24" ht="32.25" customHeight="1" thickBot="1" x14ac:dyDescent="0.3">
      <c r="A4" s="336" t="s">
        <v>129</v>
      </c>
      <c r="B4" s="336"/>
      <c r="C4" s="336"/>
      <c r="D4" s="336"/>
      <c r="E4" s="336"/>
      <c r="F4" s="336"/>
      <c r="G4" s="336"/>
      <c r="H4" s="336"/>
      <c r="I4" s="65"/>
      <c r="J4" s="142"/>
      <c r="K4" s="15"/>
      <c r="L4" s="15"/>
      <c r="M4" s="35"/>
      <c r="N4" s="35"/>
      <c r="O4" s="35"/>
      <c r="P4" s="35"/>
    </row>
    <row r="5" spans="1:24" ht="21.75" customHeight="1" thickTop="1" x14ac:dyDescent="0.25">
      <c r="A5" s="329" t="s">
        <v>41</v>
      </c>
      <c r="B5" s="329"/>
      <c r="C5" s="329"/>
      <c r="D5" s="329"/>
      <c r="E5" s="329"/>
      <c r="F5" s="330"/>
      <c r="G5" s="327"/>
      <c r="H5" s="328"/>
      <c r="I5" s="56"/>
      <c r="K5" s="35"/>
      <c r="L5" s="32"/>
      <c r="M5" s="32"/>
      <c r="N5" s="32"/>
      <c r="O5" s="32"/>
      <c r="P5" s="32"/>
      <c r="Q5" s="32"/>
      <c r="R5" s="32"/>
      <c r="S5" s="32"/>
      <c r="T5" s="32"/>
      <c r="U5" s="32"/>
      <c r="V5" s="32"/>
    </row>
    <row r="6" spans="1:24" ht="21.75" customHeight="1" x14ac:dyDescent="0.25">
      <c r="A6" s="274" t="s">
        <v>113</v>
      </c>
      <c r="B6" s="274"/>
      <c r="C6" s="274"/>
      <c r="D6" s="274"/>
      <c r="E6" s="274"/>
      <c r="F6" s="274"/>
      <c r="G6" s="323"/>
      <c r="H6" s="324"/>
      <c r="I6" s="56"/>
      <c r="K6" s="35"/>
      <c r="L6" s="32"/>
      <c r="M6" s="32"/>
      <c r="N6" s="32"/>
      <c r="O6" s="32"/>
      <c r="P6" s="32"/>
      <c r="Q6" s="32"/>
      <c r="R6" s="32"/>
      <c r="S6" s="32"/>
      <c r="T6" s="32"/>
      <c r="U6" s="32"/>
      <c r="V6" s="32"/>
    </row>
    <row r="7" spans="1:24" ht="21.75" customHeight="1" x14ac:dyDescent="0.25">
      <c r="A7" s="310" t="s">
        <v>91</v>
      </c>
      <c r="B7" s="310"/>
      <c r="C7" s="310"/>
      <c r="D7" s="310"/>
      <c r="E7" s="310"/>
      <c r="F7" s="310"/>
      <c r="G7" s="310"/>
      <c r="H7" s="310"/>
      <c r="I7" s="143"/>
      <c r="J7" s="143"/>
      <c r="K7" s="141"/>
      <c r="L7" s="137"/>
      <c r="M7" s="32"/>
      <c r="N7" s="32"/>
      <c r="O7" s="32"/>
      <c r="P7" s="32"/>
      <c r="Q7" s="32"/>
      <c r="R7" s="32"/>
      <c r="S7" s="32"/>
      <c r="T7" s="32"/>
      <c r="U7" s="32"/>
      <c r="V7" s="32"/>
      <c r="W7" s="32"/>
    </row>
    <row r="8" spans="1:24" ht="21.75" customHeight="1" x14ac:dyDescent="0.25">
      <c r="A8" s="331" t="s">
        <v>44</v>
      </c>
      <c r="B8" s="332"/>
      <c r="C8" s="333"/>
      <c r="D8" s="337" t="s">
        <v>91</v>
      </c>
      <c r="E8" s="310"/>
      <c r="F8" s="310"/>
      <c r="G8" s="310"/>
      <c r="H8" s="310"/>
      <c r="I8" s="143"/>
      <c r="J8" s="143"/>
      <c r="K8" s="141"/>
      <c r="L8" s="137"/>
      <c r="M8" s="32"/>
      <c r="N8" s="32"/>
      <c r="O8" s="32"/>
      <c r="P8" s="32"/>
      <c r="Q8" s="32"/>
      <c r="R8" s="32"/>
      <c r="S8" s="32"/>
      <c r="T8" s="32"/>
      <c r="U8" s="32"/>
      <c r="V8" s="32"/>
      <c r="W8" s="32"/>
    </row>
    <row r="9" spans="1:24" ht="21.75" customHeight="1" x14ac:dyDescent="0.25">
      <c r="A9" s="144" t="s">
        <v>106</v>
      </c>
      <c r="B9" s="144" t="s">
        <v>107</v>
      </c>
      <c r="C9" s="145" t="s">
        <v>108</v>
      </c>
      <c r="D9" s="337" t="s">
        <v>91</v>
      </c>
      <c r="E9" s="310"/>
      <c r="F9" s="310"/>
      <c r="G9" s="310"/>
      <c r="H9" s="310"/>
      <c r="I9" s="143"/>
      <c r="J9" s="143"/>
      <c r="K9" s="141"/>
      <c r="L9" s="137"/>
      <c r="M9" s="32"/>
      <c r="N9" s="32"/>
      <c r="O9" s="32"/>
      <c r="P9" s="32"/>
      <c r="Q9" s="32"/>
      <c r="R9" s="32"/>
      <c r="S9" s="32"/>
      <c r="T9" s="32"/>
      <c r="U9" s="32"/>
      <c r="V9" s="32"/>
      <c r="W9" s="32"/>
    </row>
    <row r="10" spans="1:24" ht="21.75" customHeight="1" x14ac:dyDescent="0.25">
      <c r="A10" s="152" t="str">
        <f>IF(G6="Yes", 0.73, IF(G6="No", 0.00099, ""))</f>
        <v/>
      </c>
      <c r="B10" s="152" t="str">
        <f>IF(G6="Yes", 0.47, IF(G6="No", 0.00034, ""))</f>
        <v/>
      </c>
      <c r="C10" s="153" t="str">
        <f>IFERROR(B10*0.171, "")</f>
        <v/>
      </c>
      <c r="D10" s="337" t="s">
        <v>91</v>
      </c>
      <c r="E10" s="310"/>
      <c r="F10" s="310"/>
      <c r="G10" s="310"/>
      <c r="H10" s="310"/>
      <c r="I10" s="143"/>
      <c r="J10" s="143"/>
      <c r="K10" s="141"/>
      <c r="L10" s="137"/>
      <c r="M10" s="32"/>
      <c r="N10" s="32"/>
      <c r="O10" s="32"/>
      <c r="P10" s="32"/>
      <c r="Q10" s="32"/>
      <c r="R10" s="32"/>
      <c r="S10" s="32"/>
      <c r="T10" s="32"/>
      <c r="U10" s="32"/>
      <c r="V10" s="32"/>
      <c r="W10" s="32"/>
    </row>
    <row r="11" spans="1:24" ht="36" customHeight="1" x14ac:dyDescent="0.25">
      <c r="A11" s="325" t="s">
        <v>147</v>
      </c>
      <c r="B11" s="325"/>
      <c r="C11" s="325"/>
      <c r="D11" s="326"/>
      <c r="E11" s="217"/>
      <c r="F11" s="218"/>
      <c r="G11" s="218"/>
      <c r="H11" s="219"/>
      <c r="I11" s="146"/>
      <c r="J11" s="142"/>
      <c r="K11" s="35"/>
      <c r="L11" s="35"/>
      <c r="M11" s="35"/>
      <c r="N11" s="32"/>
      <c r="O11" s="32"/>
      <c r="P11" s="32"/>
      <c r="Q11" s="32"/>
      <c r="R11" s="32"/>
      <c r="S11" s="32"/>
      <c r="T11" s="32"/>
      <c r="U11" s="32"/>
      <c r="V11" s="32"/>
      <c r="W11" s="32"/>
      <c r="X11" s="32"/>
    </row>
    <row r="12" spans="1:24" ht="15" customHeight="1" x14ac:dyDescent="0.25">
      <c r="A12" s="307" t="s">
        <v>42</v>
      </c>
      <c r="B12" s="307"/>
      <c r="C12" s="307"/>
      <c r="D12" s="338"/>
      <c r="E12" s="150">
        <f>IF(G5&gt;=1,'General Plant Information'!B21,0)</f>
        <v>0</v>
      </c>
      <c r="F12" s="147" t="str">
        <f>IF($G$5&gt;=2,'General Plant Information'!B21,"")</f>
        <v/>
      </c>
      <c r="G12" s="147" t="str">
        <f>IF($G$5&gt;=3,'General Plant Information'!B21,"")</f>
        <v/>
      </c>
      <c r="H12" s="147" t="str">
        <f>IF($G$5&gt;=4,'General Plant Information'!B21,"")</f>
        <v/>
      </c>
      <c r="I12" s="146"/>
      <c r="J12" s="142"/>
      <c r="K12" s="40"/>
      <c r="L12" s="41"/>
      <c r="M12" s="42"/>
      <c r="N12" s="40"/>
      <c r="O12" s="40"/>
      <c r="P12" s="43"/>
      <c r="Q12" s="43"/>
      <c r="R12" s="40"/>
      <c r="S12" s="43"/>
      <c r="T12" s="43"/>
      <c r="U12" s="40"/>
      <c r="V12" s="43"/>
      <c r="W12" s="43"/>
      <c r="X12" s="32"/>
    </row>
    <row r="13" spans="1:24" ht="15" customHeight="1" x14ac:dyDescent="0.25">
      <c r="A13" s="339" t="s">
        <v>43</v>
      </c>
      <c r="B13" s="339"/>
      <c r="C13" s="339"/>
      <c r="D13" s="340"/>
      <c r="E13" s="150">
        <f>IF(G5&gt;=1,'General Plant Information'!C21,0)</f>
        <v>0</v>
      </c>
      <c r="F13" s="147" t="str">
        <f>IF($G$5&gt;=2,'General Plant Information'!C21,"")</f>
        <v/>
      </c>
      <c r="G13" s="147" t="str">
        <f>IF($G$5&gt;=3,'General Plant Information'!C21,"")</f>
        <v/>
      </c>
      <c r="H13" s="147" t="str">
        <f>IF($G$5&gt;=4,'General Plant Information'!C21,"")</f>
        <v/>
      </c>
      <c r="I13" s="146"/>
      <c r="J13" s="142"/>
      <c r="K13" s="35"/>
      <c r="L13" s="35"/>
      <c r="M13" s="35"/>
      <c r="N13" s="32"/>
      <c r="O13" s="32"/>
      <c r="P13" s="32"/>
      <c r="Q13" s="32"/>
      <c r="R13" s="32"/>
      <c r="S13" s="32"/>
      <c r="T13" s="32"/>
      <c r="U13" s="32"/>
      <c r="V13" s="32"/>
      <c r="W13" s="32"/>
      <c r="X13" s="32"/>
    </row>
    <row r="14" spans="1:24" ht="15" customHeight="1" x14ac:dyDescent="0.25">
      <c r="A14" s="306" t="str">
        <f>IF(G6="Yes","Control Efficiency (%)",IF(G6="No","Controlled Emission Factors Used",""))</f>
        <v/>
      </c>
      <c r="B14" s="306"/>
      <c r="C14" s="306"/>
      <c r="D14" s="341"/>
      <c r="E14" s="151"/>
      <c r="F14" s="206"/>
      <c r="G14" s="206"/>
      <c r="H14" s="112"/>
      <c r="I14" s="146"/>
      <c r="J14" s="142"/>
      <c r="K14" s="35"/>
      <c r="L14" s="35"/>
      <c r="M14" s="35"/>
      <c r="N14" s="32"/>
      <c r="O14" s="32"/>
      <c r="P14" s="32"/>
      <c r="Q14" s="32"/>
      <c r="R14" s="32"/>
      <c r="S14" s="32"/>
      <c r="T14" s="32"/>
      <c r="U14" s="32"/>
      <c r="V14" s="32"/>
      <c r="W14" s="32"/>
      <c r="X14" s="32"/>
    </row>
    <row r="15" spans="1:24" x14ac:dyDescent="0.25">
      <c r="A15" s="306" t="s">
        <v>2</v>
      </c>
      <c r="B15" s="306"/>
      <c r="C15" s="306"/>
      <c r="D15" s="341"/>
      <c r="E15" s="207" t="str">
        <f>IF($G$6="yes", E12*$A$10*(100-E14)/100, IF($G$6="no",E12*$A$10,""))</f>
        <v/>
      </c>
      <c r="F15" s="201" t="str">
        <f>IF(G5&gt;=2, IF(G6="yes", F12*A10*(100-F14)/100, IF(G6="no",F12*A10,"")),"")</f>
        <v/>
      </c>
      <c r="G15" s="201" t="str">
        <f>IF(G5&gt;=3, IF(G6="yes", G12*A10*(100-G14)/100, IF(G6="no",G12*A10,"")),"")</f>
        <v/>
      </c>
      <c r="H15" s="201" t="str">
        <f>IF(G5&gt;=4, IF(G6="yes", H12*A10*(100-H14)/100, IF(G6="no",H12*A10,"")),"")</f>
        <v/>
      </c>
      <c r="I15" s="146"/>
      <c r="J15" s="142"/>
      <c r="K15" s="35"/>
      <c r="L15" s="35"/>
      <c r="M15" s="35"/>
      <c r="N15" s="32"/>
      <c r="O15" s="32"/>
      <c r="P15" s="32"/>
      <c r="Q15" s="32"/>
      <c r="R15" s="32"/>
      <c r="S15" s="32"/>
      <c r="T15" s="32"/>
      <c r="U15" s="32"/>
      <c r="V15" s="32"/>
      <c r="W15" s="32"/>
      <c r="X15" s="32"/>
    </row>
    <row r="16" spans="1:24" x14ac:dyDescent="0.25">
      <c r="A16" s="306" t="s">
        <v>3</v>
      </c>
      <c r="B16" s="306"/>
      <c r="C16" s="306"/>
      <c r="D16" s="341"/>
      <c r="E16" s="207" t="str">
        <f>IF($G$6="yes", E13*$A$10*(100-E14)/100*(1/2000), IF($G$6="no",E13*$A$10*(1/2000),""))</f>
        <v/>
      </c>
      <c r="F16" s="201" t="str">
        <f>IF($G$5&gt;=2, IF($G$6="yes", F13*$A$10*(100-F14)/100*(1/2000), IF($G$6="no",F13*$A$10*(1/2000),"")),"")</f>
        <v/>
      </c>
      <c r="G16" s="201" t="str">
        <f>IF($G$5&gt;=3, IF($G$6="yes", G13*$A$10*(100-G14)/100*(1/2000), IF($G$6="no",G13*$A$10*(1/2000),"")),"")</f>
        <v/>
      </c>
      <c r="H16" s="201" t="str">
        <f>IF(G5&gt;=4, IF($G$6="yes", H13*$A$10*(100-H14)/100*(1/2000), IF($G$6="no",H13*$A$10*(1/2000),"")),"")</f>
        <v/>
      </c>
      <c r="I16" s="146"/>
      <c r="J16" s="148"/>
      <c r="K16" s="35"/>
      <c r="L16" s="35"/>
      <c r="M16" s="35"/>
      <c r="N16" s="32"/>
      <c r="O16" s="32"/>
      <c r="P16" s="32"/>
      <c r="Q16" s="32"/>
      <c r="R16" s="32"/>
      <c r="S16" s="32"/>
      <c r="T16" s="32"/>
      <c r="U16" s="32"/>
      <c r="V16" s="32"/>
      <c r="W16" s="32"/>
      <c r="X16" s="32"/>
    </row>
    <row r="17" spans="1:27" x14ac:dyDescent="0.25">
      <c r="A17" s="306" t="s">
        <v>109</v>
      </c>
      <c r="B17" s="306"/>
      <c r="C17" s="306"/>
      <c r="D17" s="341"/>
      <c r="E17" s="207" t="str">
        <f>IF($G$6="yes", E12*$B$10*(100-E14)/100, IF($G$6="no",E12*$B$10,""))</f>
        <v/>
      </c>
      <c r="F17" s="201" t="str">
        <f>IF(G5&gt;=2, IF(G6="yes", F12*B10*(100-F14)/100, IF(G6="no",F12*B10,"")),"")</f>
        <v/>
      </c>
      <c r="G17" s="201" t="str">
        <f>IF(G5&gt;=3, IF(G6="yes", G12*B10*(100-G14)/100, IF(G6="no",G12*B10,"")),"")</f>
        <v/>
      </c>
      <c r="H17" s="201" t="str">
        <f>IF(G5&gt;=4, IF(G6="yes", H12*B10*(100-H14)/100, IF(G6="no",H12*B10,"")),"")</f>
        <v/>
      </c>
      <c r="I17" s="146"/>
      <c r="J17" s="142"/>
      <c r="K17" s="35"/>
      <c r="L17" s="35"/>
      <c r="M17" s="35"/>
      <c r="N17" s="32"/>
      <c r="O17" s="32"/>
      <c r="P17" s="32"/>
      <c r="Q17" s="32"/>
      <c r="R17" s="32"/>
      <c r="S17" s="32"/>
      <c r="T17" s="32"/>
      <c r="U17" s="32"/>
      <c r="V17" s="32"/>
      <c r="W17" s="32"/>
      <c r="X17" s="32"/>
    </row>
    <row r="18" spans="1:27" x14ac:dyDescent="0.25">
      <c r="A18" s="306" t="s">
        <v>110</v>
      </c>
      <c r="B18" s="306"/>
      <c r="C18" s="306"/>
      <c r="D18" s="341"/>
      <c r="E18" s="207" t="str">
        <f>IF($G$6="yes", E13*$B$10*(100-E14)/100*(1/2000), IF($G$6="no",E13*$B$10*(1/2000),""))</f>
        <v/>
      </c>
      <c r="F18" s="201" t="str">
        <f>IF($G$5&gt;=2, IF($G$6="yes", F13*$B$10*(100-F14)/100*(1/2000), IF($G$6="no",F13*$B$10*(1/2000),"")),"")</f>
        <v/>
      </c>
      <c r="G18" s="201" t="str">
        <f>IF($G$5&gt;=3, IF($G$6="yes", G13*$B$10*(100-G14)/100*(1/2000), IF($G$6="no",G13*$B$10*(1/2000),"")),"")</f>
        <v/>
      </c>
      <c r="H18" s="201" t="str">
        <f>IF($G$5&gt;=4, IF($G$6="yes", H13*$B$10*(100-H14)/100*(1/2000), IF($G$6="no",H13*$B$10*(1/2000),"")),"")</f>
        <v/>
      </c>
      <c r="I18" s="146"/>
      <c r="J18" s="142"/>
      <c r="K18" s="35"/>
      <c r="L18" s="35"/>
      <c r="M18" s="35"/>
      <c r="N18" s="32"/>
      <c r="O18" s="32"/>
      <c r="P18" s="32"/>
      <c r="Q18" s="32"/>
      <c r="R18" s="32"/>
      <c r="S18" s="32"/>
      <c r="T18" s="32"/>
      <c r="U18" s="32"/>
      <c r="V18" s="32"/>
      <c r="W18" s="32"/>
      <c r="X18" s="32"/>
    </row>
    <row r="19" spans="1:27" x14ac:dyDescent="0.25">
      <c r="A19" s="306" t="s">
        <v>111</v>
      </c>
      <c r="B19" s="306"/>
      <c r="C19" s="306"/>
      <c r="D19" s="341"/>
      <c r="E19" s="207" t="str">
        <f>IF($G$6="yes", E12*$C$10*(100-E14)/100, IF($G$6="no",E12*$C$10,""))</f>
        <v/>
      </c>
      <c r="F19" s="201" t="str">
        <f>IF(G5&gt;=2, IF(G6="yes", F12*C10*(100-F14)/100, IF(G6="no",F12*C10,"")),"")</f>
        <v/>
      </c>
      <c r="G19" s="201" t="str">
        <f>IF(G5&gt;=3, IF(G6="yes", G12*C10*(100-G14)/100, IF(G6="no",G12*C10,"")),"")</f>
        <v/>
      </c>
      <c r="H19" s="201" t="str">
        <f>IF(G5&gt;=4, IF(G6="yes", H12*C10*(100-H14)/100, IF(G6="no",H12*C10,"")),"")</f>
        <v/>
      </c>
      <c r="I19" s="146"/>
      <c r="J19" s="142"/>
      <c r="K19" s="35"/>
      <c r="L19" s="35"/>
      <c r="M19" s="35"/>
      <c r="N19" s="32"/>
      <c r="O19" s="32"/>
      <c r="P19" s="32"/>
      <c r="Q19" s="32"/>
      <c r="R19" s="32"/>
      <c r="S19" s="32"/>
      <c r="T19" s="32"/>
      <c r="U19" s="32"/>
      <c r="V19" s="32"/>
      <c r="W19" s="32"/>
      <c r="X19" s="32"/>
    </row>
    <row r="20" spans="1:27" x14ac:dyDescent="0.25">
      <c r="A20" s="306" t="s">
        <v>112</v>
      </c>
      <c r="B20" s="306"/>
      <c r="C20" s="306"/>
      <c r="D20" s="341"/>
      <c r="E20" s="207" t="str">
        <f>IF($G$6="yes", E13*$C$10*(100-E14)/100*(1/2000), IF($G$6="no",E13*$C$10*(1/2000),""))</f>
        <v/>
      </c>
      <c r="F20" s="201" t="str">
        <f>IF($G$5&gt;=2, IF($G$6="yes", F13*$C$10*(100-F14)/100*(1/2000), IF($G$6="no",F13*$C$10*(1/2000),"")),"")</f>
        <v/>
      </c>
      <c r="G20" s="201" t="str">
        <f>IF($G$5&gt;=3, IF($G$6="yes", G13*$C$10*(100-G14)/100*(1/2000), IF($G$6="no",G13*$C$10*(1/2000),"")),"")</f>
        <v/>
      </c>
      <c r="H20" s="201" t="str">
        <f>IF(G5&gt;=4, IF($G$6="yes", H13*$C$10*(100-H14)/100*(1/2000), IF($G$6="no",H13*$C$10*(1/2000),"")),"")</f>
        <v/>
      </c>
      <c r="I20" s="146"/>
      <c r="J20" s="142"/>
      <c r="K20" s="35"/>
      <c r="L20" s="35"/>
      <c r="M20" s="35"/>
      <c r="N20" s="32"/>
      <c r="O20" s="32"/>
      <c r="P20" s="32"/>
      <c r="Q20" s="32"/>
      <c r="R20" s="32"/>
      <c r="S20" s="32"/>
      <c r="T20" s="32"/>
      <c r="U20" s="32"/>
      <c r="V20" s="32"/>
      <c r="W20" s="32"/>
      <c r="X20" s="32"/>
    </row>
    <row r="21" spans="1:27" ht="32.25" customHeight="1" thickBot="1" x14ac:dyDescent="0.3">
      <c r="A21" s="336" t="s">
        <v>130</v>
      </c>
      <c r="B21" s="336"/>
      <c r="C21" s="336"/>
      <c r="D21" s="336"/>
      <c r="E21" s="336"/>
      <c r="F21" s="336"/>
      <c r="G21" s="336"/>
      <c r="H21" s="336"/>
      <c r="I21" s="65"/>
      <c r="J21" s="142"/>
      <c r="K21" s="15"/>
      <c r="L21" s="15"/>
      <c r="M21" s="35"/>
      <c r="N21" s="35"/>
      <c r="O21" s="35"/>
      <c r="P21" s="35"/>
      <c r="Q21" s="32"/>
      <c r="R21" s="32"/>
      <c r="S21" s="32"/>
      <c r="T21" s="32"/>
      <c r="U21" s="32"/>
      <c r="V21" s="32"/>
      <c r="W21" s="32"/>
      <c r="X21" s="32"/>
      <c r="Y21" s="32"/>
      <c r="Z21" s="32"/>
      <c r="AA21" s="32"/>
    </row>
    <row r="22" spans="1:27" ht="21.75" customHeight="1" thickTop="1" x14ac:dyDescent="0.25">
      <c r="A22" s="346" t="s">
        <v>48</v>
      </c>
      <c r="B22" s="346"/>
      <c r="C22" s="346"/>
      <c r="D22" s="346"/>
      <c r="E22" s="346"/>
      <c r="F22" s="346"/>
      <c r="G22" s="327"/>
      <c r="H22" s="328"/>
      <c r="I22" s="16"/>
      <c r="M22" s="35"/>
      <c r="N22" s="32"/>
      <c r="O22" s="32"/>
      <c r="P22" s="32"/>
      <c r="Q22" s="32"/>
      <c r="R22" s="32"/>
      <c r="S22" s="32"/>
      <c r="T22" s="32"/>
      <c r="U22" s="32"/>
      <c r="V22" s="32"/>
      <c r="W22" s="32"/>
      <c r="X22" s="32"/>
    </row>
    <row r="23" spans="1:27" ht="21.75" customHeight="1" x14ac:dyDescent="0.25">
      <c r="A23" s="320" t="s">
        <v>113</v>
      </c>
      <c r="B23" s="320"/>
      <c r="C23" s="320"/>
      <c r="D23" s="320"/>
      <c r="E23" s="320"/>
      <c r="F23" s="320"/>
      <c r="G23" s="323"/>
      <c r="H23" s="324"/>
      <c r="I23" s="38"/>
      <c r="M23" s="35"/>
      <c r="N23" s="32"/>
      <c r="O23" s="32"/>
      <c r="P23" s="32"/>
      <c r="Q23" s="32"/>
      <c r="R23" s="32"/>
      <c r="S23" s="32"/>
      <c r="T23" s="32"/>
      <c r="U23" s="32"/>
      <c r="V23" s="32"/>
      <c r="W23" s="32"/>
      <c r="X23" s="32"/>
    </row>
    <row r="24" spans="1:27" ht="21.75" customHeight="1" x14ac:dyDescent="0.25">
      <c r="A24" s="310" t="s">
        <v>91</v>
      </c>
      <c r="B24" s="310"/>
      <c r="C24" s="310"/>
      <c r="D24" s="310"/>
      <c r="E24" s="310"/>
      <c r="F24" s="310"/>
      <c r="G24" s="310"/>
      <c r="H24" s="310"/>
      <c r="I24" s="111"/>
      <c r="J24" s="38"/>
      <c r="K24" s="38"/>
      <c r="L24" s="51"/>
      <c r="M24" s="51"/>
      <c r="N24" s="141"/>
      <c r="O24" s="137"/>
      <c r="P24" s="32"/>
      <c r="Q24" s="32"/>
      <c r="R24" s="32"/>
      <c r="S24" s="32"/>
      <c r="T24" s="32"/>
      <c r="U24" s="32"/>
      <c r="V24" s="32"/>
      <c r="W24" s="32"/>
      <c r="X24" s="32"/>
      <c r="Y24" s="32"/>
      <c r="Z24" s="32"/>
    </row>
    <row r="25" spans="1:27" ht="21.75" customHeight="1" x14ac:dyDescent="0.25">
      <c r="A25" s="343" t="s">
        <v>49</v>
      </c>
      <c r="B25" s="344"/>
      <c r="C25" s="345"/>
      <c r="D25" s="347" t="s">
        <v>91</v>
      </c>
      <c r="E25" s="254"/>
      <c r="F25" s="254"/>
      <c r="G25" s="254"/>
      <c r="H25" s="254"/>
      <c r="I25" s="111"/>
      <c r="J25" s="38"/>
      <c r="K25" s="38"/>
      <c r="L25" s="51"/>
      <c r="M25" s="51"/>
      <c r="N25" s="141"/>
      <c r="O25" s="137"/>
      <c r="P25" s="32"/>
      <c r="Q25" s="32"/>
      <c r="R25" s="32"/>
      <c r="S25" s="32"/>
      <c r="T25" s="32"/>
      <c r="U25" s="32"/>
      <c r="V25" s="32"/>
      <c r="W25" s="32"/>
      <c r="X25" s="32"/>
      <c r="Y25" s="32"/>
      <c r="Z25" s="32"/>
    </row>
    <row r="26" spans="1:27" ht="21.75" customHeight="1" x14ac:dyDescent="0.25">
      <c r="A26" s="36" t="s">
        <v>45</v>
      </c>
      <c r="B26" s="36" t="s">
        <v>46</v>
      </c>
      <c r="C26" s="37" t="s">
        <v>47</v>
      </c>
      <c r="D26" s="337" t="s">
        <v>91</v>
      </c>
      <c r="E26" s="310"/>
      <c r="F26" s="310"/>
      <c r="G26" s="310"/>
      <c r="H26" s="310"/>
      <c r="I26" s="111"/>
      <c r="J26" s="38"/>
      <c r="K26" s="38"/>
      <c r="L26" s="51"/>
      <c r="M26" s="51"/>
      <c r="N26" s="141"/>
      <c r="O26" s="137"/>
      <c r="P26" s="32"/>
      <c r="Q26" s="32"/>
      <c r="R26" s="32"/>
      <c r="S26" s="32"/>
      <c r="T26" s="32"/>
      <c r="U26" s="32"/>
      <c r="V26" s="32"/>
      <c r="W26" s="32"/>
      <c r="X26" s="32"/>
      <c r="Y26" s="32"/>
      <c r="Z26" s="32"/>
    </row>
    <row r="27" spans="1:27" ht="21.75" customHeight="1" x14ac:dyDescent="0.25">
      <c r="A27" s="44" t="str">
        <f>IF(G23="Yes", 3.14, IF(G23="No", 0.0089, ""))</f>
        <v/>
      </c>
      <c r="B27" s="44" t="str">
        <f>IF(G23="Yes", 1.1, IF(G23="No", 0.0049, ""))</f>
        <v/>
      </c>
      <c r="C27" s="39" t="str">
        <f>IFERROR(B27*0.171, "")</f>
        <v/>
      </c>
      <c r="D27" s="337" t="s">
        <v>91</v>
      </c>
      <c r="E27" s="310"/>
      <c r="F27" s="310"/>
      <c r="G27" s="310"/>
      <c r="H27" s="310"/>
      <c r="I27" s="111"/>
      <c r="J27" s="38"/>
      <c r="K27" s="38"/>
      <c r="L27" s="51"/>
      <c r="M27" s="51"/>
      <c r="N27" s="141"/>
      <c r="O27" s="137"/>
      <c r="P27" s="32"/>
      <c r="Q27" s="32"/>
      <c r="R27" s="32"/>
      <c r="S27" s="32"/>
      <c r="T27" s="32"/>
      <c r="U27" s="32"/>
      <c r="V27" s="32"/>
      <c r="W27" s="32"/>
      <c r="X27" s="32"/>
      <c r="Y27" s="32"/>
      <c r="Z27" s="32"/>
    </row>
    <row r="28" spans="1:27" ht="36" customHeight="1" x14ac:dyDescent="0.25">
      <c r="A28" s="325" t="s">
        <v>148</v>
      </c>
      <c r="B28" s="325"/>
      <c r="C28" s="325"/>
      <c r="D28" s="326"/>
      <c r="E28" s="220"/>
      <c r="F28" s="221"/>
      <c r="G28" s="221"/>
      <c r="H28" s="221"/>
      <c r="I28" s="146"/>
      <c r="J28" s="142"/>
      <c r="K28" s="35"/>
      <c r="N28" s="32"/>
      <c r="O28" s="32"/>
      <c r="P28" s="32"/>
      <c r="Q28" s="32"/>
      <c r="R28" s="32"/>
      <c r="S28" s="32"/>
      <c r="T28" s="32"/>
      <c r="U28" s="32"/>
      <c r="V28" s="32"/>
      <c r="W28" s="32"/>
      <c r="X28" s="32"/>
    </row>
    <row r="29" spans="1:27" ht="15" customHeight="1" x14ac:dyDescent="0.25">
      <c r="A29" s="307" t="s">
        <v>42</v>
      </c>
      <c r="B29" s="307"/>
      <c r="C29" s="307"/>
      <c r="D29" s="338"/>
      <c r="E29" s="150">
        <f>IF(G22&gt;=1,'General Plant Information'!B22,0)</f>
        <v>0</v>
      </c>
      <c r="F29" s="147" t="str">
        <f>IF($G$22&gt;=2,'General Plant Information'!B22,"")</f>
        <v/>
      </c>
      <c r="G29" s="147" t="str">
        <f>IF($G$22&gt;=3,'General Plant Information'!B22,"")</f>
        <v/>
      </c>
      <c r="H29" s="147" t="str">
        <f>IF($G$22&gt;=4,'General Plant Information'!B22,"")</f>
        <v/>
      </c>
      <c r="I29" s="146"/>
      <c r="J29" s="142"/>
      <c r="K29" s="32"/>
      <c r="L29" s="41"/>
      <c r="N29" s="32"/>
      <c r="O29" s="32"/>
      <c r="P29" s="32"/>
      <c r="Q29" s="32"/>
      <c r="R29" s="32"/>
      <c r="S29" s="32"/>
      <c r="T29" s="32"/>
      <c r="U29" s="32"/>
      <c r="V29" s="32"/>
      <c r="W29" s="32"/>
      <c r="X29" s="32"/>
    </row>
    <row r="30" spans="1:27" ht="15" customHeight="1" x14ac:dyDescent="0.25">
      <c r="A30" s="339" t="s">
        <v>43</v>
      </c>
      <c r="B30" s="339"/>
      <c r="C30" s="339"/>
      <c r="D30" s="340"/>
      <c r="E30" s="150">
        <f>IF(G22&gt;=1,'General Plant Information'!C22,0)</f>
        <v>0</v>
      </c>
      <c r="F30" s="147" t="str">
        <f>IF($G$22&gt;=2,'General Plant Information'!C22,"")</f>
        <v/>
      </c>
      <c r="G30" s="147" t="str">
        <f>IF($G$22&gt;=3,'General Plant Information'!C22,"")</f>
        <v/>
      </c>
      <c r="H30" s="147" t="str">
        <f>IF($G$22&gt;=4,'General Plant Information'!C22,"")</f>
        <v/>
      </c>
      <c r="I30" s="146"/>
      <c r="J30" s="142"/>
      <c r="K30" s="35"/>
      <c r="L30" s="35"/>
      <c r="N30" s="32"/>
      <c r="O30" s="32"/>
      <c r="P30" s="32"/>
      <c r="Q30" s="32"/>
      <c r="R30" s="32"/>
      <c r="S30" s="32"/>
      <c r="T30" s="32"/>
      <c r="U30" s="32"/>
      <c r="V30" s="32"/>
      <c r="W30" s="32"/>
      <c r="X30" s="32"/>
    </row>
    <row r="31" spans="1:27" x14ac:dyDescent="0.25">
      <c r="A31" s="306" t="str">
        <f>IF(G23="Yes","Control Efficiency (%)",IF(G23="No","Controlled Emission Factors Used",""))</f>
        <v/>
      </c>
      <c r="B31" s="306"/>
      <c r="C31" s="306"/>
      <c r="D31" s="341"/>
      <c r="E31" s="124"/>
      <c r="F31" s="206"/>
      <c r="G31" s="206"/>
      <c r="H31" s="206"/>
      <c r="I31" s="146"/>
      <c r="J31" s="142"/>
      <c r="K31" s="35"/>
      <c r="L31" s="35"/>
      <c r="N31" s="32"/>
      <c r="O31" s="32"/>
      <c r="P31" s="32"/>
      <c r="Q31" s="32"/>
      <c r="R31" s="32"/>
      <c r="S31" s="32"/>
      <c r="T31" s="32"/>
      <c r="U31" s="32"/>
      <c r="V31" s="32"/>
      <c r="W31" s="32"/>
      <c r="X31" s="32"/>
    </row>
    <row r="32" spans="1:27" x14ac:dyDescent="0.25">
      <c r="A32" s="306" t="s">
        <v>2</v>
      </c>
      <c r="B32" s="306"/>
      <c r="C32" s="306"/>
      <c r="D32" s="341"/>
      <c r="E32" s="118" t="str">
        <f>IF($G$23="yes", E29*$A$27*(100-E31)/100, IF($G$23="no",E29*$A$27,""))</f>
        <v/>
      </c>
      <c r="F32" s="201" t="str">
        <f>IF(G22&gt;=2, IF(G23="yes", F29*A27*(100-F31)/100, IF(G23="no",F29*A27,"")),"")</f>
        <v/>
      </c>
      <c r="G32" s="201" t="str">
        <f>IF(G22&gt;=3, IF(G23="yes", G29*A27*(100-G31)/100, IF(G23="no",G29*A27,"")),"")</f>
        <v/>
      </c>
      <c r="H32" s="201" t="str">
        <f>IF(G22&gt;=4, IF(G23="yes", H29*A27*(100-H31)/100, IF(G23="no",H29*A27,"")),"")</f>
        <v/>
      </c>
      <c r="I32" s="146"/>
      <c r="J32" s="142"/>
      <c r="K32" s="35"/>
      <c r="L32" s="35"/>
      <c r="N32" s="32"/>
      <c r="O32" s="32"/>
      <c r="P32" s="32"/>
      <c r="Q32" s="32"/>
      <c r="R32" s="32"/>
      <c r="S32" s="32"/>
      <c r="T32" s="32"/>
      <c r="U32" s="32"/>
      <c r="V32" s="32"/>
      <c r="W32" s="32"/>
      <c r="X32" s="32"/>
    </row>
    <row r="33" spans="1:17" x14ac:dyDescent="0.25">
      <c r="A33" s="306" t="s">
        <v>3</v>
      </c>
      <c r="B33" s="306"/>
      <c r="C33" s="306"/>
      <c r="D33" s="341"/>
      <c r="E33" s="118" t="str">
        <f>IF($G$23="yes", E30*$A$27*(100-E31)/100*(1/2000), IF($G$23="no",E30*$A$27*(1/2000),""))</f>
        <v/>
      </c>
      <c r="F33" s="201" t="str">
        <f>IF($G$22&gt;=2, IF($G$23="yes", F30*$A$27*(100-F31)/100*(1/2000), IF($G$23="no",F30*$A$27*(1/2000),"")),"")</f>
        <v/>
      </c>
      <c r="G33" s="201" t="str">
        <f>IF($G$22&gt;=3, IF($G$23="yes", G30*$A$27*(100-G31)/100*(1/2000), IF($G$23="no",G30*$A$27*(1/2000),"")),"")</f>
        <v/>
      </c>
      <c r="H33" s="201" t="str">
        <f>IF(G22&gt;=4, IF($G$23="yes", H30*$A$27*(100-H31)/100*(1/2000), IF($G$23="no",H30*$A$27*(1/2000),"")),"")</f>
        <v/>
      </c>
      <c r="I33" s="146"/>
      <c r="J33" s="148"/>
      <c r="K33" s="35"/>
      <c r="L33" s="35"/>
    </row>
    <row r="34" spans="1:17" x14ac:dyDescent="0.25">
      <c r="A34" s="306" t="s">
        <v>0</v>
      </c>
      <c r="B34" s="306"/>
      <c r="C34" s="306"/>
      <c r="D34" s="341"/>
      <c r="E34" s="118" t="str">
        <f>IF($G$23="yes", E29*$B$27*(100-E31)/100, IF($G$23="no",E29*$B$27,""))</f>
        <v/>
      </c>
      <c r="F34" s="201" t="str">
        <f>IF(G22&gt;=2, IF(G23="yes", F29*B27*(100-F31)/100, IF(G23="no",F29*B27,"")),"")</f>
        <v/>
      </c>
      <c r="G34" s="201" t="str">
        <f>IF(G22&gt;=3, IF(G23="yes", G29*B27*(100-G31)/100, IF(G23="no",G29*B27,"")),"")</f>
        <v/>
      </c>
      <c r="H34" s="201" t="str">
        <f>IF(G22&gt;=4, IF(G23="yes", H29*B27*(100-H31)/100, IF(G23="no",H29*B27,"")),"")</f>
        <v/>
      </c>
      <c r="I34" s="146"/>
      <c r="J34" s="142"/>
      <c r="K34" s="35"/>
      <c r="L34" s="35"/>
    </row>
    <row r="35" spans="1:17" x14ac:dyDescent="0.25">
      <c r="A35" s="306" t="s">
        <v>1</v>
      </c>
      <c r="B35" s="306"/>
      <c r="C35" s="306"/>
      <c r="D35" s="341"/>
      <c r="E35" s="118" t="str">
        <f>IF($G$23="yes", E30*$B$27*(100-E31)/100*(1/2000), IF($G$23="no",E30*$B$27*(1/2000),""))</f>
        <v/>
      </c>
      <c r="F35" s="201" t="str">
        <f>IF($G$22&gt;=2, IF($G$23="yes", F30*$B$27*(100-F31)/100*(1/2000), IF($G$23="no",F30*$B$27*(1/2000),"")),"")</f>
        <v/>
      </c>
      <c r="G35" s="201" t="str">
        <f>IF($G$22&gt;=3, IF($G$23="yes", G30*$B$27*(100-G31)/100*(1/2000), IF($G$23="no",G30*$B$27*(1/2000),"")),"")</f>
        <v/>
      </c>
      <c r="H35" s="201" t="str">
        <f>IF($G$22&gt;=4, IF($G$23="yes", H30*$B$27*(100-H31)/100*(1/2000), IF($G$23="no",H30*$B$27*(1/2000),"")),"")</f>
        <v/>
      </c>
      <c r="I35" s="146"/>
      <c r="J35" s="142"/>
      <c r="K35" s="35"/>
      <c r="L35" s="35"/>
    </row>
    <row r="36" spans="1:17" x14ac:dyDescent="0.25">
      <c r="A36" s="306" t="s">
        <v>12</v>
      </c>
      <c r="B36" s="306"/>
      <c r="C36" s="306"/>
      <c r="D36" s="341"/>
      <c r="E36" s="118" t="str">
        <f>IF($G$23="yes", E29*$C$27*(100-E31)/100, IF($G$23="no",E29*$C$27,""))</f>
        <v/>
      </c>
      <c r="F36" s="201" t="str">
        <f>IF(G22&gt;=2, IF(G23="yes", F29*C27*(100-F31)/100, IF(G23="no",F29*C27,"")),"")</f>
        <v/>
      </c>
      <c r="G36" s="201" t="str">
        <f>IF(G22&gt;=3, IF(G23="yes", G29*C27*(100-G31)/100, IF(G23="no",G29*C27,"")),"")</f>
        <v/>
      </c>
      <c r="H36" s="201" t="str">
        <f>IF(G22&gt;=4, IF(G23="yes", H29*C27*(100-H31)/100, IF(G23="no",H29*C27,"")),"")</f>
        <v/>
      </c>
      <c r="I36" s="146"/>
      <c r="J36" s="142"/>
      <c r="K36" s="35"/>
      <c r="L36" s="35"/>
      <c r="M36" s="33"/>
      <c r="N36" s="33"/>
    </row>
    <row r="37" spans="1:17" x14ac:dyDescent="0.25">
      <c r="A37" s="306" t="s">
        <v>13</v>
      </c>
      <c r="B37" s="306"/>
      <c r="C37" s="306"/>
      <c r="D37" s="341"/>
      <c r="E37" s="118" t="str">
        <f>IF($G$23="yes", E30*$C$27*(100-E31)/100*(1/2000), IF($G$23="no",E30*$C$27*(1/2000),""))</f>
        <v/>
      </c>
      <c r="F37" s="201" t="str">
        <f>IF($G$22&gt;=2, IF($G$23="yes", F30*$C$27*(100-F31)/100*(1/2000), IF($G$23="no",F30*$C$27*(1/2000),"")),"")</f>
        <v/>
      </c>
      <c r="G37" s="201" t="str">
        <f>IF($G$22&gt;=3, IF($G$23="yes", G30*$C$27*(100-G31)/100*(1/2000), IF($G$23="no",G30*$C$27*(1/2000),"")),"")</f>
        <v/>
      </c>
      <c r="H37" s="201" t="str">
        <f>IF(G22&gt;=4, IF($G$23="yes", H30*$C$27*(100-H31)/100*(1/2000), IF($G$23="no",H30*$C$27*(1/2000),"")),"")</f>
        <v/>
      </c>
      <c r="I37" s="146"/>
      <c r="J37" s="142"/>
      <c r="K37" s="35"/>
      <c r="L37" s="35"/>
      <c r="M37" s="33"/>
      <c r="N37" s="33"/>
    </row>
    <row r="38" spans="1:17" ht="32.25" customHeight="1" thickBot="1" x14ac:dyDescent="0.3">
      <c r="A38" s="342" t="str">
        <f>IF(E39="No", "Cement/Supplement Weigh Hopper Emissions - Not Applicable", "Cement/Supplement Weigh Hopper Emissions")</f>
        <v>Cement/Supplement Weigh Hopper Emissions</v>
      </c>
      <c r="B38" s="342"/>
      <c r="C38" s="342"/>
      <c r="D38" s="342"/>
      <c r="E38" s="342"/>
      <c r="F38" s="342"/>
      <c r="G38" s="342"/>
      <c r="H38" s="342"/>
      <c r="I38" s="149"/>
      <c r="J38" s="142"/>
      <c r="N38" s="45"/>
      <c r="O38" s="45"/>
      <c r="P38" s="33"/>
      <c r="Q38" s="33"/>
    </row>
    <row r="39" spans="1:17" ht="47.25" customHeight="1" thickTop="1" x14ac:dyDescent="0.25">
      <c r="A39" s="329" t="s">
        <v>114</v>
      </c>
      <c r="B39" s="329"/>
      <c r="C39" s="329"/>
      <c r="D39" s="330"/>
      <c r="E39" s="159"/>
      <c r="F39" s="351" t="str">
        <f>IF(E39="No", "Cement/Supplement Weigh Hopper Emissions Not Applicable.  Proceed to the next worksheet.","")</f>
        <v/>
      </c>
      <c r="G39" s="352"/>
      <c r="H39" s="352"/>
      <c r="I39" s="155"/>
      <c r="J39" s="155"/>
      <c r="P39" s="33"/>
      <c r="Q39" s="33"/>
    </row>
    <row r="40" spans="1:17" customFormat="1" ht="47.25" customHeight="1" x14ac:dyDescent="0.25">
      <c r="A40" s="313" t="str">
        <f>IF(E39="Yes", "What is the EPN for the cement/supplement weigh hopper?", "")</f>
        <v/>
      </c>
      <c r="B40" s="313"/>
      <c r="C40" s="313"/>
      <c r="D40" s="313"/>
      <c r="E40" s="222"/>
      <c r="F40" s="312" t="s">
        <v>91</v>
      </c>
      <c r="G40" s="312"/>
      <c r="H40" s="312"/>
    </row>
    <row r="41" spans="1:17" ht="51.75" customHeight="1" x14ac:dyDescent="0.25">
      <c r="A41" s="320" t="str">
        <f>IF(E39="Yes", "Is it equipped with its own dust collector?","")</f>
        <v/>
      </c>
      <c r="B41" s="320"/>
      <c r="C41" s="320"/>
      <c r="D41" s="320"/>
      <c r="E41" s="112"/>
      <c r="F41" s="350" t="str">
        <f>IF(E41="No","This weigh hopper must be vented to equipment with a control device meeting current BACT.","")</f>
        <v/>
      </c>
      <c r="G41" s="350"/>
      <c r="H41" s="350"/>
      <c r="I41" s="52"/>
      <c r="J41" s="52"/>
      <c r="K41" s="52"/>
      <c r="L41" s="52"/>
      <c r="M41" s="52"/>
      <c r="N41" s="52"/>
      <c r="O41" s="154"/>
      <c r="P41" s="33"/>
      <c r="Q41" s="33"/>
    </row>
    <row r="42" spans="1:17" ht="15" customHeight="1" x14ac:dyDescent="0.25">
      <c r="A42" s="274" t="str">
        <f>IF(E39="Yes", IF(E41="no","If the cement/supplement weigh hopper is vented to other equipment, please specify:",""),"")</f>
        <v/>
      </c>
      <c r="B42" s="274"/>
      <c r="C42" s="274"/>
      <c r="D42" s="274"/>
      <c r="E42" s="274"/>
      <c r="F42" s="348"/>
      <c r="G42" s="348"/>
      <c r="H42" s="348"/>
      <c r="K42" s="154"/>
      <c r="L42" s="154"/>
      <c r="M42" s="154"/>
    </row>
    <row r="43" spans="1:17" ht="28.5" customHeight="1" x14ac:dyDescent="0.25">
      <c r="A43" s="274"/>
      <c r="B43" s="274"/>
      <c r="C43" s="274"/>
      <c r="D43" s="274"/>
      <c r="E43" s="274"/>
      <c r="F43" s="348"/>
      <c r="G43" s="348"/>
      <c r="H43" s="348"/>
      <c r="L43" s="157"/>
    </row>
    <row r="44" spans="1:17" ht="43.5" customHeight="1" x14ac:dyDescent="0.25">
      <c r="A44" s="274" t="str">
        <f>IF(E39="Yes",IF(E41="Yes","Please select your preferred method of calculating emissions from the dust collector:",IF(E41="No","","")),"")</f>
        <v/>
      </c>
      <c r="B44" s="274"/>
      <c r="C44" s="274"/>
      <c r="D44" s="274"/>
      <c r="E44" s="349"/>
      <c r="F44" s="349"/>
      <c r="G44" s="349"/>
      <c r="H44" s="349"/>
      <c r="I44" s="156"/>
      <c r="J44" s="156"/>
      <c r="M44" s="157"/>
      <c r="N44" s="157"/>
    </row>
    <row r="45" spans="1:17" x14ac:dyDescent="0.25">
      <c r="A45" s="281" t="str">
        <f>IF(OR(E39="",E39="No",E41="No"),"",IF(E44="System Efficiency","Control Efficiency (%)",IF(E44="Outlet Grain Loading","","")))</f>
        <v/>
      </c>
      <c r="B45" s="281"/>
      <c r="C45" s="318"/>
      <c r="D45" s="318"/>
      <c r="E45" s="320" t="str">
        <f>IF(OR(E39="",E39="No",E41="No"),"",IF(E44="Outlet Grain Loading","Flow Rate (acfm)",IF(E44="System Efficiency","","")))</f>
        <v/>
      </c>
      <c r="F45" s="320"/>
      <c r="G45" s="318"/>
      <c r="H45" s="318"/>
    </row>
    <row r="46" spans="1:17" x14ac:dyDescent="0.25">
      <c r="A46" s="316" t="str">
        <f>IF(OR(E39="",E39="No",E41="No"),"",IF(E44="System Efficiency","Mass Flow Rate (ton/hr)",IF(E44="Outlet Grain Loading","","")))</f>
        <v/>
      </c>
      <c r="B46" s="316"/>
      <c r="C46" s="319" t="str">
        <f>IF(OR(E39="",E39="No",E41="No"),"",IF(E44="System Efficiency",'General Plant Information'!B21+'General Plant Information'!B22,IF(E44="Outlet Grain Loading","","")))</f>
        <v/>
      </c>
      <c r="D46" s="319"/>
      <c r="E46" s="320" t="str">
        <f>IF(OR(E39="",E39="No",E41="No"),"",IF(E44="Outlet Grain Loading","Outlet Loading (gr/acfm)",IF(E44="System Efficiency","","")))</f>
        <v/>
      </c>
      <c r="F46" s="320"/>
      <c r="G46" s="321"/>
      <c r="H46" s="321"/>
      <c r="L46" s="15"/>
      <c r="M46" s="15"/>
    </row>
    <row r="47" spans="1:17" x14ac:dyDescent="0.25">
      <c r="A47" s="316" t="str">
        <f>IF(OR(E39="",E39="No",E41="No"),"",IF(E44="System Efficiency","Mass Flow Rate (ton/yr)",IF(E44="Outlet Grain Loading","","")))</f>
        <v/>
      </c>
      <c r="B47" s="316"/>
      <c r="C47" s="319" t="str">
        <f>IF(OR(E39="",E39="No",E41="No"),"",IF(E44="System Efficiency",'General Plant Information'!C21+'General Plant Information'!C22,IF(E44="Outlet Grain Loading","","")))</f>
        <v/>
      </c>
      <c r="D47" s="319"/>
      <c r="E47" s="316" t="str">
        <f>IF(OR(E39="",E39="No",E41="No"),"",IF(E44="Outlet Grain Loading","PM  (lb/hr)",IF(E44="System Efficiency","","")))</f>
        <v/>
      </c>
      <c r="F47" s="316"/>
      <c r="G47" s="315" t="str">
        <f>G49</f>
        <v/>
      </c>
      <c r="H47" s="315"/>
    </row>
    <row r="48" spans="1:17" x14ac:dyDescent="0.25">
      <c r="A48" s="316" t="str">
        <f>IF(OR(E39="",E39="No",E41="No"),"",IF(E44="System Efficiency","PM  (lb/hr)",IF(E44="Outlet Grain Loading","","")))</f>
        <v/>
      </c>
      <c r="B48" s="316"/>
      <c r="C48" s="315" t="str">
        <f>IF(OR(E39="",E39="No",E41="No"),"",IF(E44="System Efficiency",(100-C45)/100*0.1072*C46,IF(E44="Outlet Grain Loading","","")))</f>
        <v/>
      </c>
      <c r="D48" s="315"/>
      <c r="E48" s="316" t="str">
        <f>IF(OR(E39="",E39="No",E41="No"),"",IF(E44="Outlet Grain Loading","PM  (ton/yr)",IF(E44="System Efficiency","","")))</f>
        <v/>
      </c>
      <c r="F48" s="316"/>
      <c r="G48" s="315" t="str">
        <f>G50</f>
        <v/>
      </c>
      <c r="H48" s="315"/>
      <c r="N48" s="32"/>
      <c r="O48" s="32"/>
      <c r="P48" s="53"/>
    </row>
    <row r="49" spans="1:17" x14ac:dyDescent="0.25">
      <c r="A49" s="316" t="str">
        <f>IF(OR(E39="",E39="No",E41="No"),"",IF(E44="System Efficiency","PM  (ton/yr)",IF(E44="Outlet Grain Loading","","")))</f>
        <v/>
      </c>
      <c r="B49" s="316"/>
      <c r="C49" s="315" t="str">
        <f>IF(OR(E39="",E39="No",E41="No"),"",IF(E44="System Efficiency",((100-C45)/100*0.1072*C47*(1/2000)),IF(E44="Outlet Grain Loading","","")))</f>
        <v/>
      </c>
      <c r="D49" s="315"/>
      <c r="E49" s="316" t="str">
        <f>IF(OR(E39="",E39="No",E41="No"),"",IF(E44="Outlet Grain Loading","PM10  (lb/hr)",IF(E44="System Efficiency","","")))</f>
        <v/>
      </c>
      <c r="F49" s="316"/>
      <c r="G49" s="315" t="str">
        <f>IF(OR(E39="",E39="No",E41="No"),"",IF(E44="Outlet Grain Loading",H46*H45*(60/7000),IF(E44="System Efficiency","","")))</f>
        <v/>
      </c>
      <c r="H49" s="315"/>
      <c r="N49" s="32"/>
      <c r="O49" s="32"/>
      <c r="P49" s="32"/>
    </row>
    <row r="50" spans="1:17" x14ac:dyDescent="0.25">
      <c r="A50" s="316" t="str">
        <f>IF(OR(E39="",E39="No",E41="No"),"",IF(E44="System Efficiency","PM10  (lb/hr)",IF(E44="Outlet Grain Loading","","")))</f>
        <v/>
      </c>
      <c r="B50" s="316"/>
      <c r="C50" s="315" t="str">
        <f>IF(OR(E39="",E39="No",E41="No"),"",IF(E44="System Efficiency",(100-C45)/100*0.0507*C46,IF(E44="Outlet Grain Loading","","")))</f>
        <v/>
      </c>
      <c r="D50" s="315"/>
      <c r="E50" s="316" t="str">
        <f>IF(OR(E39="",E39="No",E41="No"),"",IF(E44="Outlet Grain Loading","PM10  (ton/yr)",IF(E44="System Efficiency","","")))</f>
        <v/>
      </c>
      <c r="F50" s="316"/>
      <c r="G50" s="315" t="str">
        <f>IF(OR(E39="",E39="No",E41="No"),"",IF(E44="Outlet Grain Loading",H46*H45*(60/7000)*'General Plant Information'!E5*(1/2000),IF(E44="System Efficiency","","")))</f>
        <v/>
      </c>
      <c r="H50" s="315"/>
      <c r="N50" s="32"/>
      <c r="O50" s="32"/>
      <c r="P50" s="32"/>
    </row>
    <row r="51" spans="1:17" x14ac:dyDescent="0.25">
      <c r="A51" s="316" t="str">
        <f>IF(OR(E39="",E39="No",E41="No"),"",IF(E44="System Efficiency","PM10  (ton/yr)",IF(E44="Outlet Grain Loading","","")))</f>
        <v/>
      </c>
      <c r="B51" s="316"/>
      <c r="C51" s="315" t="str">
        <f>IF(OR(E39="",E39="No",E41="No"),"",IF(E44="System Efficiency",(100-C45)/100*0.0507*C47*(1/2000),IF(E44="Outlet Grain Loading","","")))</f>
        <v/>
      </c>
      <c r="D51" s="315"/>
      <c r="E51" s="316" t="str">
        <f>IF(OR(E39="",E39="No",E41="No"),"",IF(E44="Outlet Grain Loading","PM2.5  (lb/hr)",IF(E44="System Efficiency","","")))</f>
        <v/>
      </c>
      <c r="F51" s="316"/>
      <c r="G51" s="315" t="str">
        <f>G49</f>
        <v/>
      </c>
      <c r="H51" s="315"/>
      <c r="N51" s="32"/>
      <c r="O51" s="32"/>
      <c r="P51" s="32"/>
    </row>
    <row r="52" spans="1:17" x14ac:dyDescent="0.25">
      <c r="A52" s="316" t="str">
        <f>IF(OR(E39="",E39="No",E41="No"),"",IF(E44="System Efficiency","PM2.5  (lb/hr)",IF(E44="Outlet Grain Loading","","")))</f>
        <v/>
      </c>
      <c r="B52" s="316"/>
      <c r="C52" s="315" t="str">
        <f>IF(OR(E39="",E39="No",E41="No"),"",IF(E44="System Efficiency",(100-C45)/100*0.0077*C46,IF(E44="Outlet Grain Loading","","")))</f>
        <v/>
      </c>
      <c r="D52" s="315"/>
      <c r="E52" s="316" t="str">
        <f>IF(OR(E39="",E39="No",E41="No"),"",IF(E44="Outlet Grain Loading","PM2.5  (ton/yr)",IF(E44="System Efficiency","","")))</f>
        <v/>
      </c>
      <c r="F52" s="316"/>
      <c r="G52" s="315" t="str">
        <f>G50</f>
        <v/>
      </c>
      <c r="H52" s="315"/>
      <c r="N52" s="32"/>
      <c r="O52" s="32"/>
      <c r="P52" s="32"/>
    </row>
    <row r="53" spans="1:17" x14ac:dyDescent="0.25">
      <c r="A53" s="317" t="str">
        <f>IF(OR(E39="",E39="No",E41="No"),"",IF(E44="System Efficiency","PM2.5  (ton/yr)",IF(E44="Outlet Grain Loading","","")))</f>
        <v/>
      </c>
      <c r="B53" s="317"/>
      <c r="C53" s="315" t="str">
        <f>IF(OR(E39="",E39="No",E41="No"),"",IF(E44="System Efficiency",(100-C45)/100*0.0077*C47*(1/2000),IF(E44="Outlet Grain Loading","","")))</f>
        <v/>
      </c>
      <c r="D53" s="315"/>
      <c r="E53" s="254" t="s">
        <v>91</v>
      </c>
      <c r="F53" s="254"/>
      <c r="G53" s="254"/>
      <c r="H53" s="254"/>
      <c r="K53" s="32"/>
      <c r="L53" s="32"/>
      <c r="O53" s="32"/>
      <c r="P53" s="32"/>
      <c r="Q53" s="32"/>
    </row>
    <row r="54" spans="1:17" x14ac:dyDescent="0.25">
      <c r="A54" s="314" t="s">
        <v>115</v>
      </c>
      <c r="B54" s="314"/>
      <c r="C54" s="314"/>
      <c r="D54" s="314"/>
      <c r="E54" s="314"/>
      <c r="F54" s="314"/>
      <c r="G54" s="314"/>
      <c r="H54" s="314"/>
      <c r="K54" s="50"/>
      <c r="L54" s="50"/>
      <c r="O54" s="32"/>
      <c r="P54" s="32"/>
      <c r="Q54" s="32"/>
    </row>
    <row r="55" spans="1:17" hidden="1" x14ac:dyDescent="0.25">
      <c r="O55" s="32"/>
      <c r="P55" s="32"/>
      <c r="Q55" s="32"/>
    </row>
    <row r="56" spans="1:17" hidden="1" x14ac:dyDescent="0.25">
      <c r="G56" s="158"/>
      <c r="M56" s="32"/>
      <c r="N56" s="32"/>
      <c r="O56" s="32"/>
      <c r="P56" s="32"/>
      <c r="Q56" s="32"/>
    </row>
    <row r="57" spans="1:17" hidden="1" x14ac:dyDescent="0.25">
      <c r="C57" s="137"/>
      <c r="G57" s="158"/>
      <c r="K57" s="32"/>
      <c r="L57" s="32"/>
      <c r="M57" s="32"/>
      <c r="N57" s="32"/>
      <c r="O57" s="32"/>
      <c r="P57" s="32"/>
      <c r="Q57" s="32"/>
    </row>
    <row r="58" spans="1:17" hidden="1" x14ac:dyDescent="0.25">
      <c r="B58" s="205"/>
      <c r="K58" s="32"/>
      <c r="L58" s="32"/>
      <c r="M58" s="32"/>
      <c r="N58" s="32"/>
      <c r="O58" s="32"/>
      <c r="P58" s="32"/>
      <c r="Q58" s="32"/>
    </row>
    <row r="59" spans="1:17" hidden="1" x14ac:dyDescent="0.25">
      <c r="B59" s="205"/>
      <c r="K59" s="32"/>
      <c r="L59" s="32"/>
      <c r="M59" s="32"/>
      <c r="N59" s="32"/>
      <c r="O59" s="32"/>
      <c r="P59" s="32"/>
      <c r="Q59" s="32"/>
    </row>
    <row r="60" spans="1:17" hidden="1" x14ac:dyDescent="0.25">
      <c r="B60" s="205"/>
      <c r="K60" s="32"/>
      <c r="L60" s="32"/>
      <c r="M60" s="32"/>
      <c r="N60" s="32"/>
      <c r="O60" s="32"/>
      <c r="P60" s="32"/>
      <c r="Q60" s="32"/>
    </row>
    <row r="61" spans="1:17" hidden="1" x14ac:dyDescent="0.25">
      <c r="B61" s="205"/>
      <c r="K61" s="32"/>
      <c r="L61" s="32"/>
      <c r="M61" s="32"/>
      <c r="N61" s="32"/>
      <c r="O61" s="32"/>
      <c r="P61" s="32"/>
      <c r="Q61" s="32"/>
    </row>
    <row r="62" spans="1:17" hidden="1" x14ac:dyDescent="0.25">
      <c r="B62" s="205"/>
    </row>
    <row r="63" spans="1:17" hidden="1" x14ac:dyDescent="0.25">
      <c r="B63" s="205"/>
    </row>
  </sheetData>
  <sheetProtection algorithmName="SHA-512" hashValue="0q0OrHaRiALOV7CdbhJ3Z7TG4B3H1MgCVB0DpqOjTtqEnZ2nMhBP2prUvarw6urmKxjEqsH6+FBXYYJcOVgyBA==" saltValue="tY2CidnUQtzAUbloNqC3ag==" spinCount="100000" sheet="1" objects="1" scenarios="1"/>
  <mergeCells count="90">
    <mergeCell ref="D26:H26"/>
    <mergeCell ref="D27:H27"/>
    <mergeCell ref="E53:H53"/>
    <mergeCell ref="A39:D39"/>
    <mergeCell ref="A42:E43"/>
    <mergeCell ref="E50:F50"/>
    <mergeCell ref="E51:F51"/>
    <mergeCell ref="F42:H43"/>
    <mergeCell ref="E44:H44"/>
    <mergeCell ref="A44:D44"/>
    <mergeCell ref="F41:H41"/>
    <mergeCell ref="F39:H39"/>
    <mergeCell ref="A41:D41"/>
    <mergeCell ref="G45:H45"/>
    <mergeCell ref="E47:F47"/>
    <mergeCell ref="E48:F48"/>
    <mergeCell ref="A31:D31"/>
    <mergeCell ref="A30:D30"/>
    <mergeCell ref="A33:D33"/>
    <mergeCell ref="A34:D34"/>
    <mergeCell ref="A35:D35"/>
    <mergeCell ref="G22:H22"/>
    <mergeCell ref="A25:C25"/>
    <mergeCell ref="G23:H23"/>
    <mergeCell ref="A22:F22"/>
    <mergeCell ref="A23:F23"/>
    <mergeCell ref="A24:H24"/>
    <mergeCell ref="D25:H25"/>
    <mergeCell ref="A12:D12"/>
    <mergeCell ref="A13:D13"/>
    <mergeCell ref="A14:D14"/>
    <mergeCell ref="A19:D19"/>
    <mergeCell ref="A38:H38"/>
    <mergeCell ref="A15:D15"/>
    <mergeCell ref="A16:D16"/>
    <mergeCell ref="A17:D17"/>
    <mergeCell ref="A18:D18"/>
    <mergeCell ref="A20:D20"/>
    <mergeCell ref="A29:D29"/>
    <mergeCell ref="A28:D28"/>
    <mergeCell ref="A36:D36"/>
    <mergeCell ref="A37:D37"/>
    <mergeCell ref="A32:D32"/>
    <mergeCell ref="A21:H21"/>
    <mergeCell ref="A2:H2"/>
    <mergeCell ref="A1:H1"/>
    <mergeCell ref="G6:H6"/>
    <mergeCell ref="A6:F6"/>
    <mergeCell ref="A11:D11"/>
    <mergeCell ref="G5:H5"/>
    <mergeCell ref="A5:F5"/>
    <mergeCell ref="A8:C8"/>
    <mergeCell ref="A3:H3"/>
    <mergeCell ref="A4:H4"/>
    <mergeCell ref="A7:H7"/>
    <mergeCell ref="D8:H8"/>
    <mergeCell ref="D9:H9"/>
    <mergeCell ref="D10:H10"/>
    <mergeCell ref="E45:F45"/>
    <mergeCell ref="E46:F46"/>
    <mergeCell ref="C50:D50"/>
    <mergeCell ref="G50:H50"/>
    <mergeCell ref="E49:F49"/>
    <mergeCell ref="G46:H46"/>
    <mergeCell ref="G47:H47"/>
    <mergeCell ref="G48:H48"/>
    <mergeCell ref="C49:D49"/>
    <mergeCell ref="G49:H49"/>
    <mergeCell ref="C48:D48"/>
    <mergeCell ref="G51:H51"/>
    <mergeCell ref="G52:H52"/>
    <mergeCell ref="E52:F52"/>
    <mergeCell ref="C51:D51"/>
    <mergeCell ref="C52:D52"/>
    <mergeCell ref="F40:H40"/>
    <mergeCell ref="A40:D40"/>
    <mergeCell ref="A54:H54"/>
    <mergeCell ref="C53:D53"/>
    <mergeCell ref="A45:B45"/>
    <mergeCell ref="A46:B46"/>
    <mergeCell ref="A47:B47"/>
    <mergeCell ref="A50:B50"/>
    <mergeCell ref="A51:B51"/>
    <mergeCell ref="A52:B52"/>
    <mergeCell ref="A53:B53"/>
    <mergeCell ref="A48:B48"/>
    <mergeCell ref="A49:B49"/>
    <mergeCell ref="C45:D45"/>
    <mergeCell ref="C46:D46"/>
    <mergeCell ref="C47:D47"/>
  </mergeCells>
  <conditionalFormatting sqref="A14 A31">
    <cfRule type="expression" dxfId="55" priority="58">
      <formula>$A$14="error"</formula>
    </cfRule>
  </conditionalFormatting>
  <conditionalFormatting sqref="L24:N27 A27:C27">
    <cfRule type="expression" dxfId="54" priority="57">
      <formula>$G$23="yes"</formula>
    </cfRule>
  </conditionalFormatting>
  <conditionalFormatting sqref="E31">
    <cfRule type="expression" dxfId="53" priority="56">
      <formula>$G$23="yes"</formula>
    </cfRule>
  </conditionalFormatting>
  <conditionalFormatting sqref="E31:H31">
    <cfRule type="expression" dxfId="52" priority="1">
      <formula>$G$23=""</formula>
    </cfRule>
    <cfRule type="expression" dxfId="51" priority="55">
      <formula>$G$23="No"</formula>
    </cfRule>
  </conditionalFormatting>
  <conditionalFormatting sqref="F31">
    <cfRule type="expression" dxfId="50" priority="54">
      <formula>AND($G$22&gt;=2,$G$23="yes")</formula>
    </cfRule>
  </conditionalFormatting>
  <conditionalFormatting sqref="G31">
    <cfRule type="expression" dxfId="49" priority="53">
      <formula>AND($G$22&gt;=3,$G$23="yes")</formula>
    </cfRule>
  </conditionalFormatting>
  <conditionalFormatting sqref="H31">
    <cfRule type="expression" dxfId="48" priority="52">
      <formula>AND($G$22&gt;=4,$G$23="yes")</formula>
    </cfRule>
  </conditionalFormatting>
  <conditionalFormatting sqref="L24:M27 A27:B27">
    <cfRule type="expression" dxfId="47" priority="50">
      <formula>$G$23="No"</formula>
    </cfRule>
  </conditionalFormatting>
  <conditionalFormatting sqref="N24:N27 C27">
    <cfRule type="expression" dxfId="46" priority="49">
      <formula>$G$23="no"</formula>
    </cfRule>
  </conditionalFormatting>
  <conditionalFormatting sqref="F28:F37">
    <cfRule type="expression" dxfId="45" priority="48">
      <formula>$G$22&gt;=2</formula>
    </cfRule>
  </conditionalFormatting>
  <conditionalFormatting sqref="F28">
    <cfRule type="expression" dxfId="44" priority="47">
      <formula>$G$22&gt;=2</formula>
    </cfRule>
  </conditionalFormatting>
  <conditionalFormatting sqref="G28:G37">
    <cfRule type="expression" dxfId="43" priority="46">
      <formula>$G$22&gt;=3</formula>
    </cfRule>
  </conditionalFormatting>
  <conditionalFormatting sqref="G28">
    <cfRule type="expression" dxfId="42" priority="45">
      <formula>$G$22&gt;=3</formula>
    </cfRule>
  </conditionalFormatting>
  <conditionalFormatting sqref="H28">
    <cfRule type="expression" dxfId="41" priority="42">
      <formula>$G$22&gt;=4</formula>
    </cfRule>
  </conditionalFormatting>
  <conditionalFormatting sqref="F11:F20">
    <cfRule type="expression" dxfId="40" priority="257">
      <formula>$G$5&gt;=2</formula>
    </cfRule>
  </conditionalFormatting>
  <conditionalFormatting sqref="G11:G20">
    <cfRule type="expression" dxfId="39" priority="258">
      <formula>$G$5&gt;=3</formula>
    </cfRule>
  </conditionalFormatting>
  <conditionalFormatting sqref="H11:H20">
    <cfRule type="expression" dxfId="38" priority="259">
      <formula>$G$5&gt;=4</formula>
    </cfRule>
  </conditionalFormatting>
  <conditionalFormatting sqref="F11">
    <cfRule type="expression" dxfId="37" priority="7">
      <formula>$G$5&gt;=2</formula>
    </cfRule>
    <cfRule type="expression" dxfId="36" priority="260">
      <formula>$G$5&gt;=2</formula>
    </cfRule>
  </conditionalFormatting>
  <conditionalFormatting sqref="G11">
    <cfRule type="expression" dxfId="35" priority="261">
      <formula>$G$5&gt;=3</formula>
    </cfRule>
  </conditionalFormatting>
  <conditionalFormatting sqref="H11">
    <cfRule type="expression" dxfId="34" priority="262">
      <formula>$G$5&gt;=4</formula>
    </cfRule>
  </conditionalFormatting>
  <conditionalFormatting sqref="I7:K10 A10:C10">
    <cfRule type="expression" dxfId="33" priority="266">
      <formula>$G$6="No"</formula>
    </cfRule>
  </conditionalFormatting>
  <conditionalFormatting sqref="E14">
    <cfRule type="expression" dxfId="32" priority="268">
      <formula>$G$6="yes"</formula>
    </cfRule>
  </conditionalFormatting>
  <conditionalFormatting sqref="E14:H14">
    <cfRule type="expression" dxfId="31" priority="269">
      <formula>$G$6="No"</formula>
    </cfRule>
  </conditionalFormatting>
  <conditionalFormatting sqref="F14">
    <cfRule type="expression" dxfId="30" priority="270">
      <formula>AND($G$5&gt;=2,$G$6="yes")</formula>
    </cfRule>
  </conditionalFormatting>
  <conditionalFormatting sqref="G14">
    <cfRule type="expression" dxfId="29" priority="271">
      <formula>AND($G$5&gt;=3,$G$6="yes")</formula>
    </cfRule>
  </conditionalFormatting>
  <conditionalFormatting sqref="H14">
    <cfRule type="expression" dxfId="28" priority="272">
      <formula>AND($G$5&gt;=4,$G$6="yes")</formula>
    </cfRule>
  </conditionalFormatting>
  <conditionalFormatting sqref="C45">
    <cfRule type="expression" dxfId="27" priority="290">
      <formula>$E$44="System Efficiency"</formula>
    </cfRule>
  </conditionalFormatting>
  <conditionalFormatting sqref="A45:A53 C45:C53">
    <cfRule type="expression" dxfId="26" priority="292">
      <formula>$E$44="System Efficiency"</formula>
    </cfRule>
  </conditionalFormatting>
  <conditionalFormatting sqref="G45:H46">
    <cfRule type="expression" dxfId="25" priority="295">
      <formula>$E$44="Outlet Grain Loading"</formula>
    </cfRule>
  </conditionalFormatting>
  <conditionalFormatting sqref="E45:F52">
    <cfRule type="expression" dxfId="24" priority="19">
      <formula>$E$44="Outlet Grain Loading"</formula>
    </cfRule>
  </conditionalFormatting>
  <conditionalFormatting sqref="G45:H52">
    <cfRule type="expression" dxfId="23" priority="16">
      <formula>$E$44="Outlet Grain Loading"</formula>
    </cfRule>
  </conditionalFormatting>
  <conditionalFormatting sqref="C45:D53">
    <cfRule type="expression" dxfId="22" priority="15">
      <formula>$E$44="System Efficiency"</formula>
    </cfRule>
  </conditionalFormatting>
  <conditionalFormatting sqref="E41">
    <cfRule type="expression" dxfId="21" priority="296">
      <formula>"$F$43="</formula>
    </cfRule>
    <cfRule type="expression" dxfId="20" priority="297">
      <formula>$E$39="Yes"</formula>
    </cfRule>
    <cfRule type="expression" dxfId="19" priority="298">
      <formula>$E$39="Yes"</formula>
    </cfRule>
  </conditionalFormatting>
  <conditionalFormatting sqref="A41 E41">
    <cfRule type="expression" dxfId="18" priority="299">
      <formula>$E$39="Yes"</formula>
    </cfRule>
  </conditionalFormatting>
  <conditionalFormatting sqref="A41">
    <cfRule type="expression" dxfId="17" priority="300">
      <formula>$E$39="Yes"</formula>
    </cfRule>
  </conditionalFormatting>
  <conditionalFormatting sqref="F42:F43 H42:H43">
    <cfRule type="expression" dxfId="16" priority="301">
      <formula>$E$41="No"</formula>
    </cfRule>
  </conditionalFormatting>
  <conditionalFormatting sqref="A42 F42">
    <cfRule type="expression" dxfId="15" priority="305">
      <formula>$E$41="No"</formula>
    </cfRule>
  </conditionalFormatting>
  <conditionalFormatting sqref="E44:H44">
    <cfRule type="expression" dxfId="14" priority="307">
      <formula>$E$41="Yes"</formula>
    </cfRule>
  </conditionalFormatting>
  <conditionalFormatting sqref="A44:H44">
    <cfRule type="expression" dxfId="13" priority="308">
      <formula>$E$41="Yes"</formula>
    </cfRule>
  </conditionalFormatting>
  <conditionalFormatting sqref="A42:H43">
    <cfRule type="expression" dxfId="12" priority="309">
      <formula>$E$41="No"</formula>
    </cfRule>
  </conditionalFormatting>
  <conditionalFormatting sqref="H42:H43">
    <cfRule type="expression" dxfId="11" priority="11">
      <formula>$E$41="No"</formula>
    </cfRule>
  </conditionalFormatting>
  <conditionalFormatting sqref="E11">
    <cfRule type="expression" dxfId="10" priority="6">
      <formula>$G$5&gt;=1</formula>
    </cfRule>
    <cfRule type="expression" dxfId="9" priority="8">
      <formula>$G$5&gt;=1</formula>
    </cfRule>
  </conditionalFormatting>
  <conditionalFormatting sqref="E28">
    <cfRule type="expression" dxfId="8" priority="5">
      <formula>$G$22&gt;=1</formula>
    </cfRule>
  </conditionalFormatting>
  <conditionalFormatting sqref="E40">
    <cfRule type="expression" dxfId="7" priority="4">
      <formula>$E$39="Yes"</formula>
    </cfRule>
  </conditionalFormatting>
  <conditionalFormatting sqref="A40:D40">
    <cfRule type="expression" dxfId="6" priority="3">
      <formula>$E$39="Yes"</formula>
    </cfRule>
  </conditionalFormatting>
  <conditionalFormatting sqref="A41:E41">
    <cfRule type="expression" dxfId="5" priority="2">
      <formula>$E$41="Yes"</formula>
    </cfRule>
  </conditionalFormatting>
  <dataValidations xWindow="347" yWindow="485" count="26">
    <dataValidation type="decimal" allowBlank="1" showInputMessage="1" showErrorMessage="1" error="BACT requires a mimimum control efficiency of at least 99%" prompt="If &quot;Yes&quot; was selected in cell G23 above, enter the manufacturer's filter efficiency rating for supplement silo #4.  _x000a__x000a_If &quot;No&quot; was selected in cell G23 above, no input is needed for these cells.  Proceed to the next section below." sqref="H31" xr:uid="{8B37EB4A-0EA5-4086-B806-D5DD60B96A1C}">
      <formula1>99</formula1>
      <formula2>100</formula2>
    </dataValidation>
    <dataValidation type="decimal" allowBlank="1" showInputMessage="1" showErrorMessage="1" error="BACT requires a minimum control efficiency of at least 99%" prompt="If you selected &quot;System Efficiency&quot;, enter the control efficiency rating for the dust collector. " sqref="C45:D45" xr:uid="{C4EC37DC-576F-45EA-9212-72E18FB61D27}">
      <formula1>99</formula1>
      <formula2>100</formula2>
    </dataValidation>
    <dataValidation type="list" allowBlank="1" showInputMessage="1" showErrorMessage="1" prompt="Select &quot;Yes&quot; or &quot;No&quot; from the drop-down menu." sqref="E39 E41" xr:uid="{00000000-0002-0000-0200-000002000000}">
      <formula1>List2</formula1>
    </dataValidation>
    <dataValidation type="list" showInputMessage="1" showErrorMessage="1" prompt="Select the appropriate number of cement silos " sqref="G5:H5" xr:uid="{E3DDC643-DF82-45E5-9B16-C04FE05463C3}">
      <formula1>List6</formula1>
    </dataValidation>
    <dataValidation type="list" allowBlank="1" showInputMessage="1" showErrorMessage="1" prompt="Select &quot;Yes&quot; or &quot;No&quot; from the drop-down menu. " sqref="G6:H6" xr:uid="{0BE960A7-66D2-4591-A674-27BD638A037B}">
      <formula1>List11</formula1>
    </dataValidation>
    <dataValidation type="list" allowBlank="1" showInputMessage="1" showErrorMessage="1" prompt="Select the appropriate number of supplement material silos." sqref="G22:H22" xr:uid="{DD5D61D0-0CB5-4AE3-8F68-0C3D3616BC4B}">
      <formula1>List6</formula1>
    </dataValidation>
    <dataValidation type="list" allowBlank="1" showInputMessage="1" showErrorMessage="1" prompt="Select &quot;Yes&quot; or &quot;No&quot; from the drop-down menu." sqref="G23:H23" xr:uid="{8ECBCF0B-4FD3-433E-83E3-E38B283E8D55}">
      <formula1>List11</formula1>
    </dataValidation>
    <dataValidation type="decimal" allowBlank="1" showInputMessage="1" showErrorMessage="1" prompt="If &quot;Yes&quot; was selected in cell G6 above, enter the manufacturer's filter efficiency rating for cement silo #4.  _x000a__x000a_If &quot;No&quot; was selected in cell G6 above, no input is needed for these cells.  Proceed to the next section below." sqref="H14" xr:uid="{4501A20E-7FF1-4DE6-8AC5-4957299554EF}">
      <formula1>99</formula1>
      <formula2>100</formula2>
    </dataValidation>
    <dataValidation allowBlank="1" showInputMessage="1" showErrorMessage="1" prompt="If you selected &quot;Outlet Grain Loading&quot;, enter the flow rate in (acfm)." sqref="G45:H45" xr:uid="{8B83016B-3E27-486C-BECB-7CA6D4883569}"/>
    <dataValidation allowBlank="1" showInputMessage="1" showErrorMessage="1" prompt="If you selected &quot;Outlet Grain Loading&quot;, enter the outlet grain loading in (gr/acfm)." sqref="G46:H46" xr:uid="{53279310-3899-43E5-8153-1EECDC779B73}"/>
    <dataValidation type="list" allowBlank="1" showInputMessage="1" showErrorMessage="1" prompt=" If applicable, select the equipment used to vent emissions from the cement/supplement weigh hopper." sqref="F42:H43" xr:uid="{AA58E205-B74C-42FA-A713-9D36D1BF7378}">
      <formula1>List3</formula1>
    </dataValidation>
    <dataValidation type="decimal" allowBlank="1" showInputMessage="1" showErrorMessage="1" prompt="If &quot;Yes&quot; was selected in cell G6 above, enter the manufacturer's filter efficiency rating for cement silo #1.  _x000a__x000a_If &quot;No&quot; was selected in cell G6 above, no input is needed for these cells.  Proceed to the next section below." sqref="E14" xr:uid="{51073532-FAFD-4DC1-A66F-455FD3B11C2B}">
      <formula1>99</formula1>
      <formula2>100</formula2>
    </dataValidation>
    <dataValidation type="decimal" allowBlank="1" showInputMessage="1" showErrorMessage="1" error="BACT requires a mimimum control efficiency of at least 99%" prompt="If &quot;Yes&quot; was selected in cell G23 above, enter the manufacturer's filter efficiency rating for supplement silo #1.  _x000a__x000a_If &quot;No&quot; was selected in cell G23 above, no input is needed for these cells.  Proceed to the next section below." sqref="E31" xr:uid="{5AFA247F-9F47-4C41-B757-1252576783B6}">
      <formula1>99</formula1>
      <formula2>100</formula2>
    </dataValidation>
    <dataValidation type="list" allowBlank="1" showInputMessage="1" showErrorMessage="1" prompt="Select &quot;System Efficiency&quot; or &quot;Outlet Grain Loading&quot;" sqref="E44:H44" xr:uid="{2F165DE1-F90A-47D9-AF0E-93135C506DC7}">
      <formula1>List1</formula1>
    </dataValidation>
    <dataValidation type="decimal" allowBlank="1" showInputMessage="1" showErrorMessage="1" prompt="If &quot;Yes&quot; was selected in cell G6 above, enter the manufacturer's filter efficiency rating for cement silo #3.  _x000a__x000a_If &quot;No&quot; was selected in cell G6 above, no input is needed for these cells.  Proceed to the next section below." sqref="G14" xr:uid="{473F1CB3-5E1C-4DAF-8B54-128ABC007E58}">
      <formula1>99</formula1>
      <formula2>100</formula2>
    </dataValidation>
    <dataValidation type="decimal" allowBlank="1" showInputMessage="1" showErrorMessage="1" prompt="If &quot;Yes&quot; was selected in cell G6 above, enter the manufacturer's filter efficiency rating for cement silo #2.  _x000a__x000a_If &quot;No&quot; was selected in cell G6 above, no input is needed for these cells.  Proceed to the next section below." sqref="F14" xr:uid="{E962EFA2-D63F-48F7-B634-3C6F0FF214EE}">
      <formula1>99</formula1>
      <formula2>100</formula2>
    </dataValidation>
    <dataValidation type="decimal" allowBlank="1" showInputMessage="1" showErrorMessage="1" error="BACT requires a mimimum control efficiency of at least 99%" prompt="If &quot;Yes&quot; was selected in cell G23 above, enter the manufacturer's filter efficiency rating for supplement silo #2.  _x000a__x000a_If &quot;No&quot; was selected in cell G23 above, no input is needed for these cells.  Proceed to the next section below." sqref="F31" xr:uid="{18931F56-5718-454E-B379-3FF210D489C5}">
      <formula1>99</formula1>
      <formula2>100</formula2>
    </dataValidation>
    <dataValidation type="decimal" allowBlank="1" showInputMessage="1" showErrorMessage="1" error="BACT requires a mimimum control efficiency of at least 99%" prompt="If &quot;Yes&quot; was selected in cell G23 above, enter the manufacturer's filter efficiency rating for cement supplement silo #3.  _x000a__x000a_If &quot;No&quot; was selected in cell G23 above, no input is needed for these cells.  Proceed to the next section below." sqref="G31" xr:uid="{6F75D9F0-2E6F-449A-AEE0-7E977D5FD63F}">
      <formula1>99</formula1>
      <formula2>100</formula2>
    </dataValidation>
    <dataValidation allowBlank="1" showInputMessage="1" showErrorMessage="1" prompt="Enter the designated EPN for your 1st cement silo." sqref="E11" xr:uid="{E91DC1C3-31F3-4C06-9169-D76F331A28AA}"/>
    <dataValidation allowBlank="1" showInputMessage="1" showErrorMessage="1" prompt="If applicable, enter the designated EPN for your 2nd cement silo." sqref="F11" xr:uid="{0DE2EA23-73C1-4994-8D5C-3B1A58692E25}"/>
    <dataValidation allowBlank="1" showInputMessage="1" showErrorMessage="1" prompt="If applicable, enter the designated EPN for your 3rd cement silo." sqref="G11" xr:uid="{C4E45F6E-F550-4748-BBDC-7B291557A6E4}"/>
    <dataValidation allowBlank="1" showInputMessage="1" showErrorMessage="1" prompt="If applicable, enter the designated EPN for your 4th cement silo." sqref="H11" xr:uid="{876BAF2F-BB22-476A-B189-F8F6DD30CE11}"/>
    <dataValidation allowBlank="1" showInputMessage="1" showErrorMessage="1" prompt="If applicable, enter the designated EPN for your 1st cement supplement silo." sqref="E28" xr:uid="{F8740251-E140-4F54-8CB5-3F18023DBD76}"/>
    <dataValidation allowBlank="1" showInputMessage="1" showErrorMessage="1" prompt="If applicable, enter the designated EPN for your 2nd cement supplement silo." sqref="F28" xr:uid="{6A02D05A-2AC2-4F2D-87DF-2AC09CC137B9}"/>
    <dataValidation allowBlank="1" showInputMessage="1" showErrorMessage="1" prompt="If applicable, enter the designated EPN for your 3rd cement supplement silo." sqref="G28" xr:uid="{2328E7F7-234C-458A-8C16-82DB78B319B9}"/>
    <dataValidation allowBlank="1" showInputMessage="1" showErrorMessage="1" prompt="If applicable, enter the designated EPN for your 4th cement supplement silo." sqref="H28" xr:uid="{321E889E-2A53-4096-AF8B-EAD3558821B9}"/>
  </dataValidations>
  <pageMargins left="0.7" right="0.7" top="0.75" bottom="0.75" header="0.3" footer="0.3"/>
  <pageSetup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33"/>
  <sheetViews>
    <sheetView zoomScaleNormal="100" workbookViewId="0">
      <selection activeCell="E10" sqref="E10:G10"/>
    </sheetView>
  </sheetViews>
  <sheetFormatPr defaultColWidth="0" defaultRowHeight="15" zeroHeight="1" x14ac:dyDescent="0.25"/>
  <cols>
    <col min="1" max="1" width="12.5703125" style="19" customWidth="1"/>
    <col min="2" max="2" width="13" style="19" customWidth="1"/>
    <col min="3" max="4" width="13.140625" style="19" customWidth="1"/>
    <col min="5" max="5" width="12.7109375" style="19" customWidth="1"/>
    <col min="6" max="6" width="11.28515625" style="19" customWidth="1"/>
    <col min="7" max="7" width="14.28515625" style="19" customWidth="1"/>
    <col min="8" max="8" width="9.140625" style="2" hidden="1" customWidth="1"/>
    <col min="9" max="9" width="12.5703125" style="2" hidden="1" customWidth="1"/>
    <col min="10" max="10" width="12" style="2" hidden="1" customWidth="1"/>
    <col min="11" max="11" width="11.28515625" style="2" hidden="1" customWidth="1"/>
    <col min="12" max="16384" width="9.140625" style="2" hidden="1"/>
  </cols>
  <sheetData>
    <row r="1" spans="1:11" ht="6" customHeight="1" x14ac:dyDescent="0.25">
      <c r="A1" s="369" t="s">
        <v>144</v>
      </c>
      <c r="B1" s="369"/>
      <c r="C1" s="369"/>
      <c r="D1" s="369"/>
      <c r="E1" s="369"/>
      <c r="F1" s="369"/>
      <c r="G1" s="369"/>
      <c r="H1" s="173"/>
      <c r="I1" s="84"/>
      <c r="J1" s="84"/>
      <c r="K1" s="54"/>
    </row>
    <row r="2" spans="1:11" ht="36" customHeight="1" x14ac:dyDescent="0.25">
      <c r="A2" s="322" t="s">
        <v>126</v>
      </c>
      <c r="B2" s="322"/>
      <c r="C2" s="322"/>
      <c r="D2" s="322"/>
      <c r="E2" s="322"/>
      <c r="F2" s="322"/>
      <c r="G2" s="322"/>
      <c r="H2" s="170"/>
      <c r="I2" s="171"/>
      <c r="J2" s="171"/>
      <c r="K2" s="171"/>
    </row>
    <row r="3" spans="1:11" ht="72.75" customHeight="1" x14ac:dyDescent="0.25">
      <c r="A3" s="334" t="s">
        <v>157</v>
      </c>
      <c r="B3" s="334"/>
      <c r="C3" s="334"/>
      <c r="D3" s="334"/>
      <c r="E3" s="334"/>
      <c r="F3" s="334"/>
      <c r="G3" s="334"/>
      <c r="H3" s="84"/>
      <c r="I3" s="84"/>
      <c r="J3" s="84"/>
      <c r="K3" s="54"/>
    </row>
    <row r="4" spans="1:11" ht="24.75" customHeight="1" thickBot="1" x14ac:dyDescent="0.3">
      <c r="A4" s="372" t="str">
        <f>IF('General Plant Information'!B9="Central Mix","Central Mix Loading Information",IF('General Plant Information'!B9="Truck Mix","Truck Loading Information","Loading Emission Rates"))</f>
        <v>Loading Emission Rates</v>
      </c>
      <c r="B4" s="372"/>
      <c r="C4" s="372"/>
      <c r="D4" s="372"/>
      <c r="E4" s="372"/>
      <c r="F4" s="372"/>
      <c r="G4" s="372"/>
      <c r="H4" s="172"/>
      <c r="I4" s="172"/>
      <c r="J4" s="172"/>
      <c r="K4" s="172"/>
    </row>
    <row r="5" spans="1:11" ht="30.75" customHeight="1" thickTop="1" x14ac:dyDescent="0.25">
      <c r="A5" s="282" t="s">
        <v>150</v>
      </c>
      <c r="B5" s="282"/>
      <c r="C5" s="282"/>
      <c r="D5" s="283"/>
      <c r="E5" s="355"/>
      <c r="F5" s="356"/>
      <c r="G5" s="356"/>
      <c r="H5" s="172"/>
      <c r="I5" s="172"/>
      <c r="J5" s="172"/>
      <c r="K5" s="172"/>
    </row>
    <row r="6" spans="1:11" customFormat="1" ht="24.75" customHeight="1" x14ac:dyDescent="0.25">
      <c r="A6" s="353" t="s">
        <v>149</v>
      </c>
      <c r="B6" s="353"/>
      <c r="C6" s="353"/>
      <c r="D6" s="354"/>
      <c r="E6" s="357"/>
      <c r="F6" s="358"/>
      <c r="G6" s="358"/>
    </row>
    <row r="7" spans="1:11" ht="24.75" customHeight="1" x14ac:dyDescent="0.25">
      <c r="A7" s="325" t="s">
        <v>69</v>
      </c>
      <c r="B7" s="325"/>
      <c r="C7" s="325"/>
      <c r="D7" s="326"/>
      <c r="E7" s="373"/>
      <c r="F7" s="374"/>
      <c r="G7" s="374"/>
      <c r="H7" s="84"/>
      <c r="I7" s="84"/>
      <c r="J7" s="84"/>
    </row>
    <row r="8" spans="1:11" ht="24.75" customHeight="1" x14ac:dyDescent="0.25">
      <c r="A8" s="381" t="s">
        <v>67</v>
      </c>
      <c r="B8" s="381"/>
      <c r="C8" s="381"/>
      <c r="D8" s="382"/>
      <c r="E8" s="375"/>
      <c r="F8" s="376"/>
      <c r="G8" s="376"/>
    </row>
    <row r="9" spans="1:11" ht="24.75" customHeight="1" x14ac:dyDescent="0.25">
      <c r="A9" s="380" t="str">
        <f>IF(E8="Yes","",IF(E8="No","What is the Shroud Capture Efficiency?",""))</f>
        <v/>
      </c>
      <c r="B9" s="380"/>
      <c r="C9" s="380"/>
      <c r="D9" s="380"/>
      <c r="E9" s="377"/>
      <c r="F9" s="377"/>
      <c r="G9" s="377"/>
      <c r="H9" s="84"/>
      <c r="I9" s="84"/>
      <c r="J9" s="84"/>
      <c r="K9" s="84"/>
    </row>
    <row r="10" spans="1:11" ht="26.25" customHeight="1" x14ac:dyDescent="0.25">
      <c r="A10" s="379" t="str">
        <f>IF(E8="Yes","",IF(E8="No","Provide justification for the Shroud Capture Efficiency.",""))</f>
        <v/>
      </c>
      <c r="B10" s="379"/>
      <c r="C10" s="379"/>
      <c r="D10" s="379"/>
      <c r="E10" s="378"/>
      <c r="F10" s="378"/>
      <c r="G10" s="378"/>
      <c r="H10" s="84"/>
      <c r="I10" s="84"/>
      <c r="J10" s="84"/>
      <c r="K10" s="84"/>
    </row>
    <row r="11" spans="1:11" customFormat="1" ht="21.75" customHeight="1" x14ac:dyDescent="0.25">
      <c r="A11" s="371" t="str">
        <f>IF(E8="Yes","  Default Capture Efficiency % =",IF(E8="No","",""))</f>
        <v/>
      </c>
      <c r="B11" s="371"/>
      <c r="C11" s="371"/>
      <c r="D11" s="223">
        <v>97.3</v>
      </c>
      <c r="E11" s="254" t="s">
        <v>91</v>
      </c>
      <c r="F11" s="254"/>
      <c r="G11" s="254"/>
    </row>
    <row r="12" spans="1:11" ht="21" customHeight="1" x14ac:dyDescent="0.25">
      <c r="A12" s="254" t="s">
        <v>91</v>
      </c>
      <c r="B12" s="254"/>
      <c r="C12" s="254"/>
      <c r="D12" s="254"/>
      <c r="E12" s="254"/>
      <c r="F12" s="254"/>
      <c r="G12" s="254"/>
    </row>
    <row r="13" spans="1:11" ht="21.75" customHeight="1" x14ac:dyDescent="0.25">
      <c r="A13" s="359" t="s">
        <v>124</v>
      </c>
      <c r="B13" s="359"/>
      <c r="C13" s="359"/>
      <c r="D13" s="370" t="s">
        <v>91</v>
      </c>
      <c r="E13" s="243"/>
      <c r="F13" s="243"/>
      <c r="G13" s="243"/>
    </row>
    <row r="14" spans="1:11" ht="20.25" customHeight="1" x14ac:dyDescent="0.25">
      <c r="A14" s="224" t="s">
        <v>25</v>
      </c>
      <c r="B14" s="224" t="s">
        <v>7</v>
      </c>
      <c r="C14" s="224" t="s">
        <v>6</v>
      </c>
      <c r="D14" s="370" t="s">
        <v>91</v>
      </c>
      <c r="E14" s="243"/>
      <c r="F14" s="243"/>
      <c r="G14" s="243"/>
    </row>
    <row r="15" spans="1:11" ht="19.5" customHeight="1" x14ac:dyDescent="0.25">
      <c r="A15" s="69" t="s">
        <v>5</v>
      </c>
      <c r="B15" s="225">
        <f>'General Plant Information'!B19</f>
        <v>0</v>
      </c>
      <c r="C15" s="225">
        <f>'General Plant Information'!C19</f>
        <v>0</v>
      </c>
      <c r="D15" s="370" t="s">
        <v>91</v>
      </c>
      <c r="E15" s="243"/>
      <c r="F15" s="243"/>
      <c r="G15" s="243"/>
    </row>
    <row r="16" spans="1:11" customFormat="1" ht="19.5" customHeight="1" x14ac:dyDescent="0.25">
      <c r="A16" s="70" t="s">
        <v>8</v>
      </c>
      <c r="B16" s="226">
        <f>'General Plant Information'!B20</f>
        <v>0</v>
      </c>
      <c r="C16" s="226">
        <f>'General Plant Information'!C20</f>
        <v>0</v>
      </c>
      <c r="D16" s="347" t="s">
        <v>91</v>
      </c>
      <c r="E16" s="254"/>
      <c r="F16" s="254"/>
      <c r="G16" s="254"/>
    </row>
    <row r="17" spans="1:11" ht="19.5" customHeight="1" x14ac:dyDescent="0.25">
      <c r="A17" s="227" t="s">
        <v>10</v>
      </c>
      <c r="B17" s="228">
        <f>'General Plant Information'!B21</f>
        <v>0</v>
      </c>
      <c r="C17" s="228">
        <f>'General Plant Information'!C21</f>
        <v>0</v>
      </c>
      <c r="D17" s="347" t="s">
        <v>91</v>
      </c>
      <c r="E17" s="254"/>
      <c r="F17" s="254"/>
      <c r="G17" s="254"/>
    </row>
    <row r="18" spans="1:11" ht="19.5" customHeight="1" x14ac:dyDescent="0.25">
      <c r="A18" s="204" t="s">
        <v>11</v>
      </c>
      <c r="B18" s="229">
        <f>'General Plant Information'!B22</f>
        <v>0</v>
      </c>
      <c r="C18" s="229">
        <f>'General Plant Information'!C22</f>
        <v>0</v>
      </c>
      <c r="D18" s="370" t="s">
        <v>91</v>
      </c>
      <c r="E18" s="243"/>
      <c r="F18" s="243"/>
      <c r="G18" s="243"/>
    </row>
    <row r="19" spans="1:11" ht="21" customHeight="1" x14ac:dyDescent="0.25">
      <c r="A19" s="254" t="s">
        <v>91</v>
      </c>
      <c r="B19" s="254"/>
      <c r="C19" s="254"/>
      <c r="D19" s="254"/>
      <c r="E19" s="254"/>
      <c r="F19" s="254"/>
      <c r="G19" s="254"/>
      <c r="H19" s="84"/>
      <c r="I19" s="84"/>
      <c r="J19" s="84"/>
      <c r="K19" s="84"/>
    </row>
    <row r="20" spans="1:11" ht="21.75" customHeight="1" x14ac:dyDescent="0.25">
      <c r="A20" s="359" t="str">
        <f>IF('General Plant Information'!B9="Central Mix","Mixer Loading Emission Factors",IF('General Plant Information'!B9="Truck Mix","Truck Loading Emission Factors",""))</f>
        <v/>
      </c>
      <c r="B20" s="359"/>
      <c r="C20" s="359"/>
      <c r="D20" s="347" t="s">
        <v>91</v>
      </c>
      <c r="E20" s="254"/>
      <c r="F20" s="254"/>
      <c r="G20" s="254"/>
    </row>
    <row r="21" spans="1:11" ht="20.25" customHeight="1" x14ac:dyDescent="0.25">
      <c r="A21" s="230" t="s">
        <v>106</v>
      </c>
      <c r="B21" s="230" t="s">
        <v>107</v>
      </c>
      <c r="C21" s="230" t="s">
        <v>108</v>
      </c>
      <c r="D21" s="347" t="s">
        <v>91</v>
      </c>
      <c r="E21" s="254"/>
      <c r="F21" s="254"/>
      <c r="G21" s="254"/>
    </row>
    <row r="22" spans="1:11" ht="19.5" customHeight="1" x14ac:dyDescent="0.25">
      <c r="A22" s="230" t="str">
        <f>IF('General Plant Information'!B9="Central Mix","0.572",IF('General Plant Information'!B9="Truck Mix","1.118",""))</f>
        <v/>
      </c>
      <c r="B22" s="231" t="str">
        <f>IF('General Plant Information'!B9="Central Mix","0.156",IF('General Plant Information'!B9="Truck Mix","0.310",""))</f>
        <v/>
      </c>
      <c r="C22" s="230" t="str">
        <f>IF('General Plant Information'!B9="Central Mix","0.018",IF('General Plant Information'!B9="Truck Mix","0.053",""))</f>
        <v/>
      </c>
      <c r="D22" s="347" t="s">
        <v>91</v>
      </c>
      <c r="E22" s="254"/>
      <c r="F22" s="254"/>
      <c r="G22" s="254"/>
      <c r="I22" s="84"/>
      <c r="J22" s="84"/>
      <c r="K22" s="84"/>
    </row>
    <row r="23" spans="1:11" ht="21" customHeight="1" x14ac:dyDescent="0.25">
      <c r="A23" s="254" t="s">
        <v>91</v>
      </c>
      <c r="B23" s="254"/>
      <c r="C23" s="254"/>
      <c r="D23" s="254"/>
      <c r="E23" s="254"/>
      <c r="F23" s="254"/>
      <c r="G23" s="254"/>
      <c r="H23" s="84"/>
      <c r="I23" s="84"/>
      <c r="J23" s="84"/>
      <c r="K23" s="84"/>
    </row>
    <row r="24" spans="1:11" ht="45.75" customHeight="1" x14ac:dyDescent="0.25">
      <c r="A24" s="359" t="s">
        <v>125</v>
      </c>
      <c r="B24" s="359"/>
      <c r="C24" s="360" t="s">
        <v>68</v>
      </c>
      <c r="D24" s="360"/>
      <c r="E24" s="360" t="str">
        <f>IF('General Plant Information'!B9="Central Mix","Mixer Loading Fugitive Emission Rates",IF('General Plant Information'!B9="Truck Mix","Truck Loading Fugitive Emission Rates","Loading Emission Rates"))</f>
        <v>Loading Emission Rates</v>
      </c>
      <c r="F24" s="360"/>
      <c r="G24" s="232" t="s">
        <v>91</v>
      </c>
      <c r="H24" s="84"/>
    </row>
    <row r="25" spans="1:11" ht="19.5" customHeight="1" x14ac:dyDescent="0.25">
      <c r="A25" s="363" t="s">
        <v>30</v>
      </c>
      <c r="B25" s="364"/>
      <c r="C25" s="361" t="str">
        <f>IF($E$8="Yes",$A$22*($B$17+$B$18)*(D11/100)*(100-$E$7)/100, IF($E$8="No",IF(ISBLANK($E$9),"",$A$22*($B$17+$B$18)*($E$9/100)*(100-$E$7)/100),""))</f>
        <v/>
      </c>
      <c r="D25" s="362"/>
      <c r="E25" s="361" t="str">
        <f>IF($E$8="Yes",$A$22*($B$17+$B$18)*(100-D11)/100, IF($E$8="No",IF(E9="","",$A$22*($B$17+$B$18)*(100-E9)/100),""))</f>
        <v/>
      </c>
      <c r="F25" s="362"/>
      <c r="G25" s="233" t="s">
        <v>91</v>
      </c>
      <c r="H25" s="84"/>
    </row>
    <row r="26" spans="1:11" ht="19.5" customHeight="1" x14ac:dyDescent="0.25">
      <c r="A26" s="363" t="s">
        <v>31</v>
      </c>
      <c r="B26" s="364"/>
      <c r="C26" s="367" t="str">
        <f>IF($E$8="Yes",$A$22*($C$17+$C$18)*(D11/100)*(100-$E$7)/100*(1/2000), IF($E$8="No",IF(ISBLANK($E$9),"",$A$22*($C$17+$C$18)*($E$9/100)*(100-$E$7)/100*(1/2000)),""))</f>
        <v/>
      </c>
      <c r="D26" s="368"/>
      <c r="E26" s="367" t="str">
        <f>IF($E$8="Yes",$A$22*($C$17+$C$18)*(100-D11)/100*(1/2000), IF($E$8="No",IF($E$9="","",$A$22*($C$17+$C$18)*(100-$E$9)/100*(1/2000)),""))</f>
        <v/>
      </c>
      <c r="F26" s="368"/>
      <c r="G26" s="233" t="s">
        <v>91</v>
      </c>
      <c r="H26" s="84"/>
    </row>
    <row r="27" spans="1:11" ht="19.5" customHeight="1" x14ac:dyDescent="0.25">
      <c r="A27" s="363" t="s">
        <v>32</v>
      </c>
      <c r="B27" s="364"/>
      <c r="C27" s="367" t="str">
        <f>IF($E$8="Yes",$B$22*($B$17+$B$18)*(D11/100)*(100-$E$7)/100, IF($E$8="No",IF(ISBLANK($E$9),"",$B$22*($B$17+$B$18)*($E$9/100)*(100-$E$7)/100),""))</f>
        <v/>
      </c>
      <c r="D27" s="368"/>
      <c r="E27" s="367" t="str">
        <f>IF($E$8="Yes",$B$22*($B$17+$B$18)*(100-D11)/100, IF($E$8="No",IF(E9="","",$B$22*($B$17+$B$18)*(100-E9)/100),""))</f>
        <v/>
      </c>
      <c r="F27" s="368"/>
      <c r="G27" s="234" t="s">
        <v>91</v>
      </c>
      <c r="H27" s="84"/>
    </row>
    <row r="28" spans="1:11" ht="19.5" customHeight="1" x14ac:dyDescent="0.25">
      <c r="A28" s="363" t="s">
        <v>33</v>
      </c>
      <c r="B28" s="364"/>
      <c r="C28" s="367" t="str">
        <f>IF($E$8="Yes",$B$22*($C$17+$C$18)*(D11/100)*(100-$E$7)/100*(1/2000), IF($E$8="No",IF(ISBLANK($E$9),"",$B$22*($C$17+$C$18)*($E$9/100)*(100-$E$7)/100*(1/2000)),""))</f>
        <v/>
      </c>
      <c r="D28" s="368"/>
      <c r="E28" s="367" t="str">
        <f>IF($E$8="Yes",$B$22*($C$17+$C$18)*(100-D11)/100*(1/2000), IF($E$8="No",IF($E$9="","",$B$22*($C$17+$C$18)*(100-$E$9)/100*(1/2000)),""))</f>
        <v/>
      </c>
      <c r="F28" s="368"/>
      <c r="G28" s="234" t="s">
        <v>91</v>
      </c>
      <c r="H28" s="84"/>
    </row>
    <row r="29" spans="1:11" ht="19.5" customHeight="1" x14ac:dyDescent="0.25">
      <c r="A29" s="363" t="s">
        <v>34</v>
      </c>
      <c r="B29" s="364"/>
      <c r="C29" s="367" t="str">
        <f>IF($E$8="Yes",$C$22*($B$17+$B$18)*(D11/100)*(100-$E$7)/100, IF($E$8="No",IF(ISBLANK($E$9),"",$C$22*($B$17+$B$18)*($E$9/100)*(100-$E$7)/100),""))</f>
        <v/>
      </c>
      <c r="D29" s="368"/>
      <c r="E29" s="367" t="str">
        <f>IF($E$8="Yes",$C$22*($B$17+$B$18)*(100-D11)/100, IF($E$8="No",IF(E9="","",$C$22*($B$17+$B$18)*(100-E9)/100),""))</f>
        <v/>
      </c>
      <c r="F29" s="368"/>
      <c r="G29" s="234" t="s">
        <v>91</v>
      </c>
      <c r="H29" s="84"/>
      <c r="I29" s="84"/>
      <c r="J29" s="84"/>
      <c r="K29" s="84"/>
    </row>
    <row r="30" spans="1:11" ht="19.5" customHeight="1" x14ac:dyDescent="0.25">
      <c r="A30" s="331" t="s">
        <v>35</v>
      </c>
      <c r="B30" s="332"/>
      <c r="C30" s="365" t="str">
        <f>IF($E$8="Yes",$C$22*($C$17+$C$18)*(D11/100)*(100-$E$7)/100*(1/2000), IF($E$8="No",IF(ISBLANK($E$9),"",$C$22*($C$17+$C$18)*($E$9/100)*(100-$E$7)/100*(1/2000)),""))</f>
        <v/>
      </c>
      <c r="D30" s="366"/>
      <c r="E30" s="365" t="str">
        <f>IF($E$8="Yes",$C$22*($C$17+$C$18)*(100-D11)/100*(1/2000), IF($E$8="No",IF($E$9="","",$C$22*($C$17+$C$18)*(100-$E$9)/100*(1/2000)),""))</f>
        <v/>
      </c>
      <c r="F30" s="366"/>
      <c r="G30" s="234" t="s">
        <v>91</v>
      </c>
      <c r="H30" s="84"/>
      <c r="I30" s="84"/>
      <c r="J30" s="84"/>
      <c r="K30" s="84"/>
    </row>
    <row r="31" spans="1:11" x14ac:dyDescent="0.25">
      <c r="A31" s="254" t="s">
        <v>115</v>
      </c>
      <c r="B31" s="254"/>
      <c r="C31" s="254"/>
      <c r="D31" s="254"/>
      <c r="E31" s="254"/>
      <c r="F31" s="254"/>
      <c r="G31" s="254"/>
      <c r="H31" s="84"/>
      <c r="I31" s="84"/>
      <c r="J31" s="84"/>
      <c r="K31" s="84"/>
    </row>
    <row r="32" spans="1:11" hidden="1" x14ac:dyDescent="0.25">
      <c r="H32" s="84"/>
      <c r="I32" s="84"/>
      <c r="J32" s="84"/>
      <c r="K32" s="84"/>
    </row>
    <row r="33" spans="8:11" hidden="1" x14ac:dyDescent="0.25">
      <c r="H33" s="84"/>
      <c r="I33" s="84"/>
      <c r="J33" s="84"/>
      <c r="K33" s="84"/>
    </row>
  </sheetData>
  <sheetProtection algorithmName="SHA-512" hashValue="4n7qczInrq6C8JxdUT5vAwoeG56yRwn1rRhZtsW4NkryMAYDCQt5plBHCk72VK0047/LxeL+ulgQEMWLUnPx2w==" saltValue="Noeayal5wXJACrkFrWfByA==" spinCount="100000" sheet="1" objects="1" scenarios="1"/>
  <mergeCells count="54">
    <mergeCell ref="A31:G31"/>
    <mergeCell ref="A9:D9"/>
    <mergeCell ref="A8:D8"/>
    <mergeCell ref="A7:D7"/>
    <mergeCell ref="A19:G19"/>
    <mergeCell ref="D20:G20"/>
    <mergeCell ref="A20:C20"/>
    <mergeCell ref="D15:G15"/>
    <mergeCell ref="D16:G16"/>
    <mergeCell ref="D17:G17"/>
    <mergeCell ref="D18:G18"/>
    <mergeCell ref="C29:D29"/>
    <mergeCell ref="E28:F28"/>
    <mergeCell ref="E29:F29"/>
    <mergeCell ref="E25:F25"/>
    <mergeCell ref="C24:D24"/>
    <mergeCell ref="A1:G1"/>
    <mergeCell ref="A12:G12"/>
    <mergeCell ref="E11:G11"/>
    <mergeCell ref="D13:G13"/>
    <mergeCell ref="D14:G14"/>
    <mergeCell ref="A2:G2"/>
    <mergeCell ref="A13:C13"/>
    <mergeCell ref="A11:C11"/>
    <mergeCell ref="A4:G4"/>
    <mergeCell ref="A3:G3"/>
    <mergeCell ref="E7:G7"/>
    <mergeCell ref="E8:G8"/>
    <mergeCell ref="E9:G9"/>
    <mergeCell ref="E10:G10"/>
    <mergeCell ref="A10:D10"/>
    <mergeCell ref="A5:D5"/>
    <mergeCell ref="C25:D25"/>
    <mergeCell ref="A25:B25"/>
    <mergeCell ref="E30:F30"/>
    <mergeCell ref="A26:B26"/>
    <mergeCell ref="A27:B27"/>
    <mergeCell ref="A28:B28"/>
    <mergeCell ref="A29:B29"/>
    <mergeCell ref="A30:B30"/>
    <mergeCell ref="C30:D30"/>
    <mergeCell ref="E26:F26"/>
    <mergeCell ref="E27:F27"/>
    <mergeCell ref="C26:D26"/>
    <mergeCell ref="C27:D27"/>
    <mergeCell ref="C28:D28"/>
    <mergeCell ref="A6:D6"/>
    <mergeCell ref="E5:G5"/>
    <mergeCell ref="E6:G6"/>
    <mergeCell ref="A24:B24"/>
    <mergeCell ref="E24:F24"/>
    <mergeCell ref="D21:G21"/>
    <mergeCell ref="D22:G22"/>
    <mergeCell ref="A23:G23"/>
  </mergeCells>
  <conditionalFormatting sqref="A9:G10">
    <cfRule type="expression" dxfId="4" priority="314" stopIfTrue="1">
      <formula>$E$8="No"</formula>
    </cfRule>
  </conditionalFormatting>
  <conditionalFormatting sqref="E9:E10">
    <cfRule type="expression" dxfId="3" priority="4">
      <formula>$E$8="No"</formula>
    </cfRule>
  </conditionalFormatting>
  <conditionalFormatting sqref="D11 D18 D13:D15">
    <cfRule type="expression" dxfId="2" priority="3">
      <formula>$E$8="No"</formula>
    </cfRule>
  </conditionalFormatting>
  <conditionalFormatting sqref="D11">
    <cfRule type="expression" dxfId="1" priority="2">
      <formula>$E$8="Yes"</formula>
    </cfRule>
  </conditionalFormatting>
  <conditionalFormatting sqref="A8:G8">
    <cfRule type="expression" dxfId="0" priority="1">
      <formula>$E$8="Yes"</formula>
    </cfRule>
  </conditionalFormatting>
  <dataValidations xWindow="777" yWindow="560" count="4">
    <dataValidation allowBlank="1" showInputMessage="1" showErrorMessage="1" prompt="Enter the filter efficiency rating for the central baghouse" sqref="E7:G7" xr:uid="{F631F9AE-764B-4914-8A21-938C19B5AB69}"/>
    <dataValidation type="list" allowBlank="1" showInputMessage="1" showErrorMessage="1" prompt="Select &quot;Yes&quot; or &quot;No&quot;. _x000a__x000a_If you select &quot;Yes&quot; to use the default efficiency rating, there is no other action required.  Proceed to the next worksheet.  " sqref="E8:G8" xr:uid="{F07EA564-0B34-40D8-B1E1-B3D385A606DB}">
      <formula1>List11</formula1>
    </dataValidation>
    <dataValidation allowBlank="1" showInputMessage="1" showErrorMessage="1" prompt="If &quot;No&quot; was selected above, enter the custom shroud capture efficiency rating here.  " sqref="E9:G9" xr:uid="{7267435B-3E53-454B-9BC6-96BADFA8664A}"/>
    <dataValidation allowBlank="1" showInputMessage="1" showErrorMessage="1" prompt="Enter justification for the shroud capture efficiency rating used above.   " sqref="E10:G10" xr:uid="{AD0BCA42-B7E5-4D9E-9CFF-3301755BFD87}"/>
  </dataValidations>
  <pageMargins left="0.7" right="0.7" top="0.75" bottom="0.75" header="0.3" footer="0.3"/>
  <pageSetup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XFB34"/>
  <sheetViews>
    <sheetView zoomScaleNormal="100" workbookViewId="0">
      <selection sqref="A1:I1"/>
    </sheetView>
  </sheetViews>
  <sheetFormatPr defaultColWidth="0" defaultRowHeight="15" zeroHeight="1" x14ac:dyDescent="0.25"/>
  <cols>
    <col min="1" max="1" width="29.7109375" style="2" customWidth="1"/>
    <col min="2" max="2" width="26.42578125" style="2" customWidth="1"/>
    <col min="3" max="8" width="11.7109375" style="2" customWidth="1"/>
    <col min="9" max="9" width="1.5703125" style="2" customWidth="1"/>
    <col min="10" max="16381" width="9.140625" style="2" hidden="1"/>
    <col min="16382" max="16382" width="3.28515625" style="2" hidden="1"/>
    <col min="16383" max="16384" width="9.140625" style="2" hidden="1"/>
  </cols>
  <sheetData>
    <row r="1" spans="1:12" s="178" customFormat="1" x14ac:dyDescent="0.25">
      <c r="A1" s="243" t="s">
        <v>141</v>
      </c>
      <c r="B1" s="243"/>
      <c r="C1" s="243"/>
      <c r="D1" s="243"/>
      <c r="E1" s="243"/>
      <c r="F1" s="243"/>
      <c r="G1" s="243"/>
      <c r="H1" s="243"/>
      <c r="I1" s="243"/>
    </row>
    <row r="2" spans="1:12" s="174" customFormat="1" ht="43.5" customHeight="1" x14ac:dyDescent="0.25">
      <c r="A2" s="257" t="s">
        <v>103</v>
      </c>
      <c r="B2" s="257"/>
      <c r="C2" s="257"/>
      <c r="D2" s="257"/>
      <c r="E2" s="257"/>
      <c r="F2" s="257"/>
      <c r="G2" s="257"/>
      <c r="H2" s="257"/>
      <c r="I2" s="257"/>
    </row>
    <row r="3" spans="1:12" s="179" customFormat="1" ht="63" customHeight="1" x14ac:dyDescent="0.25">
      <c r="A3" s="255" t="s">
        <v>152</v>
      </c>
      <c r="B3" s="255"/>
      <c r="C3" s="255"/>
      <c r="D3" s="255"/>
      <c r="E3" s="255"/>
      <c r="F3" s="255"/>
      <c r="G3" s="255"/>
      <c r="H3" s="255"/>
      <c r="I3" s="255"/>
    </row>
    <row r="4" spans="1:12" x14ac:dyDescent="0.25">
      <c r="A4" s="235" t="s">
        <v>91</v>
      </c>
      <c r="B4" s="235" t="s">
        <v>91</v>
      </c>
      <c r="C4" s="386" t="s">
        <v>14</v>
      </c>
      <c r="D4" s="387"/>
      <c r="E4" s="386" t="s">
        <v>104</v>
      </c>
      <c r="F4" s="387"/>
      <c r="G4" s="386" t="s">
        <v>105</v>
      </c>
      <c r="H4" s="387"/>
      <c r="I4" s="236" t="s">
        <v>92</v>
      </c>
      <c r="J4" s="8"/>
    </row>
    <row r="5" spans="1:12" ht="24" customHeight="1" x14ac:dyDescent="0.25">
      <c r="A5" s="237" t="s">
        <v>71</v>
      </c>
      <c r="B5" s="224" t="s">
        <v>4</v>
      </c>
      <c r="C5" s="224" t="s">
        <v>9</v>
      </c>
      <c r="D5" s="224" t="s">
        <v>6</v>
      </c>
      <c r="E5" s="224" t="s">
        <v>9</v>
      </c>
      <c r="F5" s="224" t="s">
        <v>6</v>
      </c>
      <c r="G5" s="224" t="s">
        <v>9</v>
      </c>
      <c r="H5" s="224" t="s">
        <v>6</v>
      </c>
      <c r="I5" s="236" t="s">
        <v>92</v>
      </c>
      <c r="J5" s="8"/>
    </row>
    <row r="6" spans="1:12" x14ac:dyDescent="0.25">
      <c r="A6" s="208" t="str">
        <f>IF('Material Handling &amp; Stockpiles'!E5&gt;=1,'Material Handling &amp; Stockpiles'!D8&amp;IF('Material Handling &amp; Stockpiles'!E5&gt;=2,", "&amp;'Material Handling &amp; Stockpiles'!E8&amp;IF('Material Handling &amp; Stockpiles'!E5&gt;=3,", "&amp;'Material Handling &amp; Stockpiles'!F8&amp;IF('Material Handling &amp; Stockpiles'!E5&gt;=4,", "&amp;'Material Handling &amp; Stockpiles'!G8&amp;IF('Material Handling &amp; Stockpiles'!E5&gt;=5,", "&amp;'Material Handling &amp; Stockpiles'!H8&amp;IF('Material Handling &amp; Stockpiles'!E5&gt;=6,", "&amp;'Material Handling &amp; Stockpiles'!I8&amp;IF('Material Handling &amp; Stockpiles'!E5&gt;=7,", "&amp;'Material Handling &amp; Stockpiles'!J8&amp;IF('Material Handling &amp; Stockpiles'!E5&gt;=8,", "&amp;'Material Handling &amp; Stockpiles'!K8&amp;IF('Material Handling &amp; Stockpiles'!E5&gt;=9,", "&amp;'Material Handling &amp; Stockpiles'!L8,""),""),""),""),""),""),""),""),"")&amp;IF('Material Handling &amp; Stockpiles'!E20&gt;=1,IF('Material Handling &amp; Stockpiles'!E5&gt;=1,", ","")&amp;'Material Handling &amp; Stockpiles'!D23&amp;IF('Material Handling &amp; Stockpiles'!E20&gt;=2,", "&amp;'Material Handling &amp; Stockpiles'!E23&amp;IF('Material Handling &amp; Stockpiles'!E20&gt;=3,", "&amp;'Material Handling &amp; Stockpiles'!F23&amp;IF('Material Handling &amp; Stockpiles'!E20&gt;=4,", "&amp;'Material Handling &amp; Stockpiles'!G23&amp;IF('Material Handling &amp; Stockpiles'!E20&gt;=5,", "&amp;'Material Handling &amp; Stockpiles'!H23&amp;IF('Material Handling &amp; Stockpiles'!E20&gt;=6,", "&amp;'Material Handling &amp; Stockpiles'!I23&amp;IF('Material Handling &amp; Stockpiles'!E20&gt;=7,", "&amp;'Material Handling &amp; Stockpiles'!J23&amp;IF('Material Handling &amp; Stockpiles'!E20&gt;=8,", "&amp;'Material Handling &amp; Stockpiles'!K23&amp;IF('Material Handling &amp; Stockpiles'!E20&gt;=9,", "&amp;'Material Handling &amp; Stockpiles'!L23,""),""),""),""),""),""),""),""),"")</f>
        <v/>
      </c>
      <c r="B6" s="230" t="str">
        <f>IF(AND('Material Handling &amp; Stockpiles'!E5=0, 'Material Handling &amp; Stockpiles'!E20=0),"","Material Handling")</f>
        <v/>
      </c>
      <c r="C6" s="238" t="str">
        <f>IF(SUM('Material Handling &amp; Stockpiles'!D13:L13)+SUM('Material Handling &amp; Stockpiles'!D28:L28)&lt;0.001,"",SUM('Material Handling &amp; Stockpiles'!D13:L13)+SUM('Material Handling &amp; Stockpiles'!D28:L28))</f>
        <v/>
      </c>
      <c r="D6" s="238" t="str">
        <f>IF((SUM('Material Handling &amp; Stockpiles'!D14:L14)+SUM('Material Handling &amp; Stockpiles'!D29:L29))&lt;0.001,"",(SUM('Material Handling &amp; Stockpiles'!D14:L14)+SUM('Material Handling &amp; Stockpiles'!D29:L29)))</f>
        <v/>
      </c>
      <c r="E6" s="238" t="str">
        <f>IF((SUM('Material Handling &amp; Stockpiles'!D15:L15)+SUM('Material Handling &amp; Stockpiles'!D30:L30))&lt;0.001,"",(SUM('Material Handling &amp; Stockpiles'!D15:L15)+SUM('Material Handling &amp; Stockpiles'!D30:L30)))</f>
        <v/>
      </c>
      <c r="F6" s="238" t="str">
        <f>IF((SUM('Material Handling &amp; Stockpiles'!D16:L16)+SUM('Material Handling &amp; Stockpiles'!D31:L31))&lt;0.001,"",(SUM('Material Handling &amp; Stockpiles'!D16:L16)+SUM('Material Handling &amp; Stockpiles'!D31:L31)))</f>
        <v/>
      </c>
      <c r="G6" s="238" t="str">
        <f>IF((SUM('Material Handling &amp; Stockpiles'!D17:L17)+SUM('Material Handling &amp; Stockpiles'!D32:L32))&lt;0.001,"",(SUM('Material Handling &amp; Stockpiles'!D17:L17)+SUM('Material Handling &amp; Stockpiles'!D32:L32)))</f>
        <v/>
      </c>
      <c r="H6" s="238" t="str">
        <f>IF(SUM('Material Handling &amp; Stockpiles'!D18:L18)+SUM('Material Handling &amp; Stockpiles'!D33:L33)&lt;0.001,"",SUM('Material Handling &amp; Stockpiles'!D18:L18)+SUM('Material Handling &amp; Stockpiles'!D33:L33))</f>
        <v/>
      </c>
      <c r="I6" s="236" t="s">
        <v>92</v>
      </c>
      <c r="J6" s="8"/>
    </row>
    <row r="7" spans="1:12" x14ac:dyDescent="0.25">
      <c r="A7" s="209" t="str">
        <f>IF('Material Handling &amp; Stockpiles'!D35 ="", "", 'Material Handling &amp; Stockpiles'!D35)</f>
        <v/>
      </c>
      <c r="B7" s="230" t="str">
        <f>IF(OR('Material Handling &amp; Stockpiles'!D36="",'Material Handling &amp; Stockpiles'!D36=0),"","Stockpiles")</f>
        <v/>
      </c>
      <c r="C7" s="239" t="s">
        <v>15</v>
      </c>
      <c r="D7" s="238" t="str">
        <f>IF(OR('Material Handling &amp; Stockpiles'!D36="",'Material Handling &amp; Stockpiles'!D36=0),"",IF(('Material Handling &amp; Stockpiles'!D40+'Material Handling &amp; Stockpiles'!D43)&lt;0.001,"&lt; 0.001",('Material Handling &amp; Stockpiles'!D40+'Material Handling &amp; Stockpiles'!D43)))</f>
        <v/>
      </c>
      <c r="E7" s="239" t="s">
        <v>15</v>
      </c>
      <c r="F7" s="238" t="str">
        <f>IF(OR('Material Handling &amp; Stockpiles'!D36="",'Material Handling &amp; Stockpiles'!D36=0),"",IF(('Material Handling &amp; Stockpiles'!D41+'Material Handling &amp; Stockpiles'!D44)&lt;0.001,"&lt; 0.001",('Material Handling &amp; Stockpiles'!D41+'Material Handling &amp; Stockpiles'!D44)))</f>
        <v/>
      </c>
      <c r="G7" s="239" t="s">
        <v>15</v>
      </c>
      <c r="H7" s="238" t="str">
        <f>IF(OR('Material Handling &amp; Stockpiles'!D36="",'Material Handling &amp; Stockpiles'!D36=0),"",IF(('Material Handling &amp; Stockpiles'!D42+'Material Handling &amp; Stockpiles'!D45)&lt;0.001,"&lt; 0.001",'Material Handling &amp; Stockpiles'!D42+'Material Handling &amp; Stockpiles'!D45))</f>
        <v/>
      </c>
      <c r="I7" s="236" t="s">
        <v>92</v>
      </c>
      <c r="J7" s="8"/>
      <c r="L7" s="8"/>
    </row>
    <row r="8" spans="1:12" x14ac:dyDescent="0.25">
      <c r="A8" s="210" t="str">
        <f>IF('Loading &amp; Baghouse Emissions'!E6="","", 'Loading &amp; Baghouse Emissions'!E6)</f>
        <v/>
      </c>
      <c r="B8" s="230" t="str">
        <f>IF('Loading &amp; Baghouse Emissions'!C25="","","Central Baghouse Stack")</f>
        <v/>
      </c>
      <c r="C8" s="238" t="str">
        <f>IF('Loading &amp; Baghouse Emissions'!C25&lt;0.001,"&lt; 0.001",'Loading &amp; Baghouse Emissions'!C25)</f>
        <v/>
      </c>
      <c r="D8" s="238" t="str">
        <f>IF('Loading &amp; Baghouse Emissions'!C26&lt;0.001,"&lt; 0.001",'Loading &amp; Baghouse Emissions'!C26)</f>
        <v/>
      </c>
      <c r="E8" s="238" t="str">
        <f>IF('Loading &amp; Baghouse Emissions'!C27&lt;0.001,"&lt; 0.001",'Loading &amp; Baghouse Emissions'!C27)</f>
        <v/>
      </c>
      <c r="F8" s="238" t="str">
        <f>IF('Loading &amp; Baghouse Emissions'!C28&lt;0.001,"&lt; 0.001",'Loading &amp; Baghouse Emissions'!C28)</f>
        <v/>
      </c>
      <c r="G8" s="238" t="str">
        <f>IF('Loading &amp; Baghouse Emissions'!C29&lt;0.001,"&lt; 0.001",'Loading &amp; Baghouse Emissions'!C29)</f>
        <v/>
      </c>
      <c r="H8" s="238" t="str">
        <f>IF('Loading &amp; Baghouse Emissions'!C30&lt;0.001, "&lt; 0.001", 'Loading &amp; Baghouse Emissions'!C30)</f>
        <v/>
      </c>
      <c r="I8" s="236" t="s">
        <v>92</v>
      </c>
      <c r="J8" s="8"/>
    </row>
    <row r="9" spans="1:12" x14ac:dyDescent="0.25">
      <c r="A9" s="210" t="str">
        <f>IF('Loading &amp; Baghouse Emissions'!E5="","", 'Loading &amp; Baghouse Emissions'!E5)</f>
        <v/>
      </c>
      <c r="B9" s="230" t="str">
        <f>IF('Loading &amp; Baghouse Emissions'!E25="","","Loading Fugitives")</f>
        <v/>
      </c>
      <c r="C9" s="238" t="str">
        <f>IF('Loading &amp; Baghouse Emissions'!E25&lt;0.001,"&lt; 0.001",'Loading &amp; Baghouse Emissions'!E25)</f>
        <v/>
      </c>
      <c r="D9" s="238" t="str">
        <f>IF('Loading &amp; Baghouse Emissions'!E26&lt;0.001,"&lt; 0.001",'Loading &amp; Baghouse Emissions'!E26)</f>
        <v/>
      </c>
      <c r="E9" s="238" t="str">
        <f>IF('Loading &amp; Baghouse Emissions'!E27&lt;0.001,"&lt; 0.001",'Loading &amp; Baghouse Emissions'!E27)</f>
        <v/>
      </c>
      <c r="F9" s="238" t="str">
        <f>IF('Loading &amp; Baghouse Emissions'!E28&lt;0.001,"&lt; 0.001",'Loading &amp; Baghouse Emissions'!E28)</f>
        <v/>
      </c>
      <c r="G9" s="238" t="str">
        <f>IF('Loading &amp; Baghouse Emissions'!E29&lt;0.001,"&lt; 0.001",'Loading &amp; Baghouse Emissions'!E29)</f>
        <v/>
      </c>
      <c r="H9" s="238" t="str">
        <f>IF('Loading &amp; Baghouse Emissions'!E30&lt;0.001,"&lt; 0.001",'Loading &amp; Baghouse Emissions'!E30)</f>
        <v/>
      </c>
      <c r="I9" s="236" t="s">
        <v>92</v>
      </c>
      <c r="J9" s="8"/>
    </row>
    <row r="10" spans="1:12" ht="15" customHeight="1" x14ac:dyDescent="0.25">
      <c r="A10" s="210" t="str">
        <f>IF(' Silo Emissions'!E40="","", ' Silo Emissions'!E40)</f>
        <v/>
      </c>
      <c r="B10" s="230" t="str">
        <f>IF(' Silo Emissions'!E39="","",IF(' Silo Emissions'!E39="No","",IF(' Silo Emissions'!E39="Yes",IF(' Silo Emissions'!E41="No","Cement Weigh Hopper*", IF(' Silo Emissions'!E39="No","","Cement Weigh Hopper")))))</f>
        <v/>
      </c>
      <c r="C10" s="238" t="str">
        <f>IF((IF(OR(' Silo Emissions'!E39="",' Silo Emissions'!E39="No",' Silo Emissions'!E41="No"),"",IF(' Silo Emissions'!E44="System Efficiency",' Silo Emissions'!C48,IF(' Silo Emissions'!E44="Outlet Grain Loading",' Silo Emissions'!G47,""))))&lt;0.001,"&lt; 0.001",IF(OR(' Silo Emissions'!E39="",' Silo Emissions'!E39="No",' Silo Emissions'!E41="No"),"",(IF(' Silo Emissions'!E44="System Efficiency",' Silo Emissions'!C48,IF(' Silo Emissions'!E44="Outlet Grain Loading",' Silo Emissions'!G47,"")))))</f>
        <v/>
      </c>
      <c r="D10" s="195" t="str">
        <f>IF((IF(OR(' Silo Emissions'!E39="",' Silo Emissions'!E39="No",' Silo Emissions'!E41="No"),"",IF(' Silo Emissions'!E44="System Efficiency",' Silo Emissions'!C49,IF(' Silo Emissions'!E44="Outlet Grain Loading",' Silo Emissions'!G48,""))))&lt;0.001,"&lt; 0.001",(IF(OR(' Silo Emissions'!E39="",' Silo Emissions'!E39="No",' Silo Emissions'!E41="No"),"",IF(' Silo Emissions'!E44="System Efficiency",' Silo Emissions'!C49,IF(' Silo Emissions'!E44="Outlet Grain Loading",' Silo Emissions'!G48,"")))))</f>
        <v/>
      </c>
      <c r="E10" s="238" t="str">
        <f>IF((IF(OR(' Silo Emissions'!E39="",' Silo Emissions'!E39="No",' Silo Emissions'!E41="No"),"",IF(' Silo Emissions'!E44="System Efficiency",' Silo Emissions'!C50,IF(' Silo Emissions'!E44="Outlet Grain Loading",' Silo Emissions'!G49,""))))&lt;0.001,"&lt; 0.001",(IF(OR(' Silo Emissions'!E39="",' Silo Emissions'!E39="No",' Silo Emissions'!E41="No"),"",IF(' Silo Emissions'!E44="System Efficiency",' Silo Emissions'!C50,IF(' Silo Emissions'!E44="Outlet Grain Loading",' Silo Emissions'!G49,"")))))</f>
        <v/>
      </c>
      <c r="F10" s="238" t="str">
        <f>IF((IF(OR(' Silo Emissions'!E39="",' Silo Emissions'!E39="No",' Silo Emissions'!E41="No"),"",IF(' Silo Emissions'!E44="System Efficiency",' Silo Emissions'!C51,IF(' Silo Emissions'!E44="Outlet Grain Loading",' Silo Emissions'!G50,""))))&lt;0.001,"&lt; 0.001",(IF(OR(' Silo Emissions'!E39="",' Silo Emissions'!E39="No",' Silo Emissions'!E41="No"),"",IF(' Silo Emissions'!E44="System Efficiency",' Silo Emissions'!C51,IF(' Silo Emissions'!E44="Outlet Grain Loading",' Silo Emissions'!G50,"")))))</f>
        <v/>
      </c>
      <c r="G10" s="238" t="str">
        <f>IF((IF(OR(' Silo Emissions'!E39="",' Silo Emissions'!E39="No",' Silo Emissions'!E41="No"),"",IF(' Silo Emissions'!E44="System Efficiency",' Silo Emissions'!C52,IF(' Silo Emissions'!E44="Outlet Grain Loading",' Silo Emissions'!G51,""))))&lt;0.001,"&lt; 0.001",(IF(OR(' Silo Emissions'!E39="",' Silo Emissions'!E39="No",' Silo Emissions'!E41="No"),"",IF(' Silo Emissions'!E44="System Efficiency",' Silo Emissions'!C52,IF(' Silo Emissions'!E44="Outlet Grain Loading",' Silo Emissions'!G51,"")))))</f>
        <v/>
      </c>
      <c r="H10" s="238" t="str">
        <f>IF(OR(' Silo Emissions'!E39="",' Silo Emissions'!E39="No",' Silo Emissions'!E41="No"),"",IF(' Silo Emissions'!E44="System Efficiency",IF(' Silo Emissions'!C53&lt;0.001,"&lt; 0.001",' Silo Emissions'!C53),IF(' Silo Emissions'!E44="Outlet Grain Loading",IF(' Silo Emissions'!G52&lt;0.001,"&lt; 0.001",' Silo Emissions'!G52),"")))</f>
        <v/>
      </c>
      <c r="I10" s="236" t="s">
        <v>92</v>
      </c>
      <c r="J10" s="8"/>
    </row>
    <row r="11" spans="1:12" x14ac:dyDescent="0.25">
      <c r="A11" s="210" t="str">
        <f>IF(' Silo Emissions'!E11="","", ' Silo Emissions'!E11)</f>
        <v/>
      </c>
      <c r="B11" s="230" t="str">
        <f>IF(' Silo Emissions'!G5=0,"",IF(' Silo Emissions'!G5&lt;=1,"Cement Silo", "Cement Silo #1"))</f>
        <v/>
      </c>
      <c r="C11" s="238" t="str">
        <f>IF(' Silo Emissions'!G5=0,"",IF(' Silo Emissions'!E$15&lt;0.001,"&lt; 0.001",' Silo Emissions'!E$15))</f>
        <v/>
      </c>
      <c r="D11" s="238" t="str">
        <f>IF(' Silo Emissions'!G5=0,"",IF(' Silo Emissions'!E$16&lt;0.001,"&lt; 0.001",' Silo Emissions'!E$16))</f>
        <v/>
      </c>
      <c r="E11" s="238" t="str">
        <f>IF(' Silo Emissions'!G5=0,"",IF(' Silo Emissions'!E$17&lt;0.001,"&lt; 0.001",' Silo Emissions'!E$17))</f>
        <v/>
      </c>
      <c r="F11" s="238" t="str">
        <f>IF(' Silo Emissions'!G5=0,"",IF(' Silo Emissions'!E$18&lt;0.001,"&lt; 0.001",' Silo Emissions'!E$18))</f>
        <v/>
      </c>
      <c r="G11" s="238" t="str">
        <f>IF(' Silo Emissions'!G5=0,"",IF(' Silo Emissions'!E$19&lt;0.001,"&lt; 0.001",' Silo Emissions'!E$19))</f>
        <v/>
      </c>
      <c r="H11" s="238" t="str">
        <f>IF(' Silo Emissions'!G5=0,"",IF(' Silo Emissions'!$E20&lt;0.001,"&lt; 0.001",' Silo Emissions'!$E20))</f>
        <v/>
      </c>
      <c r="I11" s="236" t="s">
        <v>92</v>
      </c>
      <c r="J11" s="8"/>
    </row>
    <row r="12" spans="1:12" x14ac:dyDescent="0.25">
      <c r="A12" s="209" t="str">
        <f>IF(' Silo Emissions'!F11="","", ' Silo Emissions'!F11)</f>
        <v/>
      </c>
      <c r="B12" s="230" t="str">
        <f>IF(' Silo Emissions'!G5&gt;=2,"Cement Silo #2", "")</f>
        <v/>
      </c>
      <c r="C12" s="238" t="str">
        <f>IF(IF(' Silo Emissions'!$G$5&gt;=2,' Silo Emissions'!$F$15, "")&lt;0.001,"&lt; 0.001",IF(' Silo Emissions'!$G$5&gt;=2,' Silo Emissions'!$F$15, ""))</f>
        <v/>
      </c>
      <c r="D12" s="238" t="str">
        <f>IF(IF(' Silo Emissions'!$G$5&gt;=2,' Silo Emissions'!$F$16, "")&lt;0.001,"&lt; 0.001",IF(' Silo Emissions'!$G$5&gt;=2,' Silo Emissions'!$F$16, ""))</f>
        <v/>
      </c>
      <c r="E12" s="238" t="str">
        <f>IF(IF(' Silo Emissions'!$G$5&gt;=2,' Silo Emissions'!$F$17, "")&lt;0.001,"&lt; 0.001",IF(' Silo Emissions'!$G$5&gt;=2,' Silo Emissions'!$F$17, ""))</f>
        <v/>
      </c>
      <c r="F12" s="238" t="str">
        <f>IF(IF(' Silo Emissions'!$G$5&gt;=2,' Silo Emissions'!$F$18, "")&lt;0.001,"&lt; 0.001",IF(' Silo Emissions'!$G$5&gt;=2,' Silo Emissions'!$F$18, ""))</f>
        <v/>
      </c>
      <c r="G12" s="238" t="str">
        <f>IF(IF(' Silo Emissions'!$G$5&gt;=2,' Silo Emissions'!$F$19, "")&lt;0.001,"&lt; 0.001",IF(' Silo Emissions'!$G$5&gt;=2,' Silo Emissions'!$F$19, ""))</f>
        <v/>
      </c>
      <c r="H12" s="238" t="str">
        <f>IF(IF(' Silo Emissions'!$G$5&gt;=2,' Silo Emissions'!$F$20, "")&lt;0.001,"&lt; 0.001",IF(' Silo Emissions'!$G$5&gt;=2,' Silo Emissions'!$F$20, ""))</f>
        <v/>
      </c>
      <c r="I12" s="236" t="s">
        <v>92</v>
      </c>
      <c r="J12" s="8"/>
    </row>
    <row r="13" spans="1:12" x14ac:dyDescent="0.25">
      <c r="A13" s="210" t="str">
        <f>IF(' Silo Emissions'!E28="","", ' Silo Emissions'!E28)</f>
        <v/>
      </c>
      <c r="B13" s="230" t="str">
        <f>IF(' Silo Emissions'!G22&lt;1,"", IF(' Silo Emissions'!G22&lt;=1,"Supplement Silo", "Supplement Silo #1"))</f>
        <v/>
      </c>
      <c r="C13" s="238" t="str">
        <f>IF(IF(' Silo Emissions'!G22&lt;1,"",' Silo Emissions'!E32)&lt;0.001,"&lt; 0.001",IF(' Silo Emissions'!G22&lt;1,"",' Silo Emissions'!E32))</f>
        <v/>
      </c>
      <c r="D13" s="238" t="str">
        <f>IF(IF(' Silo Emissions'!G22&lt;1,"",' Silo Emissions'!E33)&lt;0.001,"&lt; 0.001",IF(' Silo Emissions'!G22&lt;1,"",' Silo Emissions'!E33))</f>
        <v/>
      </c>
      <c r="E13" s="238" t="str">
        <f>IF(IF(' Silo Emissions'!G22&lt;1,"",' Silo Emissions'!E34)&lt;0.001,"&lt; 0.001",IF(' Silo Emissions'!G22&lt;1,"",' Silo Emissions'!E34))</f>
        <v/>
      </c>
      <c r="F13" s="238" t="str">
        <f>IF(IF(' Silo Emissions'!G22&lt;1,"",' Silo Emissions'!E35)&lt;0.001,"&lt; 0.001",IF(' Silo Emissions'!G22&lt;1,"",' Silo Emissions'!E35))</f>
        <v/>
      </c>
      <c r="G13" s="238" t="str">
        <f>IF(IF(' Silo Emissions'!G22&lt;1,"",' Silo Emissions'!E36)&lt;0.001,"&lt; 0.001",IF(' Silo Emissions'!G22&lt;1,"",' Silo Emissions'!E36))</f>
        <v/>
      </c>
      <c r="H13" s="238" t="str">
        <f>IF(IF(' Silo Emissions'!G22&lt;1,"",' Silo Emissions'!E37)&lt;0.001,"&lt; 0.001",IF(' Silo Emissions'!G22&lt;1,"",' Silo Emissions'!E37))</f>
        <v/>
      </c>
      <c r="I13" s="236" t="s">
        <v>92</v>
      </c>
      <c r="J13" s="8"/>
    </row>
    <row r="14" spans="1:12" x14ac:dyDescent="0.25">
      <c r="A14" s="210" t="str">
        <f>IF(' Silo Emissions'!F28="","", ' Silo Emissions'!F28)</f>
        <v/>
      </c>
      <c r="B14" s="230" t="str">
        <f>IF(' Silo Emissions'!G22&gt;=2,"Supplement Silo #2", "")</f>
        <v/>
      </c>
      <c r="C14" s="238" t="str">
        <f>IF(IF(' Silo Emissions'!$G$22&gt;=2,' Silo Emissions'!$F$32,"")&lt;0.001,"&lt; 0.001",IF(' Silo Emissions'!$G$22&gt;=2,' Silo Emissions'!$F$32,""))</f>
        <v/>
      </c>
      <c r="D14" s="238" t="str">
        <f>IF(IF(' Silo Emissions'!$G$22&gt;=2,' Silo Emissions'!$F$33,"")&lt;0.001,"&lt; 0.001",IF(' Silo Emissions'!$G$22&gt;=2,' Silo Emissions'!$F$33,""))</f>
        <v/>
      </c>
      <c r="E14" s="238" t="str">
        <f>IF(IF(' Silo Emissions'!$G$22&gt;=2,' Silo Emissions'!$F$34,"")&lt;0.001,"&lt; 0.001",IF(' Silo Emissions'!$G$22&gt;=2,' Silo Emissions'!$F$34,""))</f>
        <v/>
      </c>
      <c r="F14" s="238" t="str">
        <f>IF(IF(' Silo Emissions'!$G$22&gt;=2,' Silo Emissions'!$F$35,"")&lt;0.001,"&lt; 0.001",IF(' Silo Emissions'!$G$22&gt;=2,' Silo Emissions'!$F$35,""))</f>
        <v/>
      </c>
      <c r="G14" s="238" t="str">
        <f>IF(IF(' Silo Emissions'!$G$22&gt;=2,' Silo Emissions'!$F$36,"")&lt;0.001,"&lt; 0.001",IF(' Silo Emissions'!$G$22&gt;=2,' Silo Emissions'!$F$36,""))</f>
        <v/>
      </c>
      <c r="H14" s="238" t="str">
        <f>IF(IF(' Silo Emissions'!$G$22&gt;=2,' Silo Emissions'!$F$37,"")&lt;0.001,"&lt; 0.001",IF(' Silo Emissions'!$G$22&gt;=2,' Silo Emissions'!$F$37,""))</f>
        <v/>
      </c>
      <c r="I14" s="236" t="s">
        <v>92</v>
      </c>
      <c r="J14" s="8"/>
    </row>
    <row r="15" spans="1:12" x14ac:dyDescent="0.25">
      <c r="A15" s="210" t="str">
        <f>IF(' Silo Emissions'!G11="","", ' Silo Emissions'!G11)</f>
        <v/>
      </c>
      <c r="B15" s="230" t="str">
        <f>IF(' Silo Emissions'!G5&gt;=3,"Cement Silo #3", "")</f>
        <v/>
      </c>
      <c r="C15" s="238" t="str">
        <f>IF(IF(' Silo Emissions'!$G$5&gt;=3,' Silo Emissions'!$G$15, "")&lt;0.001,"&lt; 0.001",IF(' Silo Emissions'!$G$5&gt;=3,' Silo Emissions'!$G$15, ""))</f>
        <v/>
      </c>
      <c r="D15" s="238" t="str">
        <f>IF(IF(' Silo Emissions'!$G$5&gt;=3,' Silo Emissions'!$G$16, "")&lt;0.001,"&lt; 0.001",IF(' Silo Emissions'!$G$5&gt;=3,' Silo Emissions'!$G$16, ""))</f>
        <v/>
      </c>
      <c r="E15" s="238" t="str">
        <f>IF(IF(' Silo Emissions'!$G$5&gt;=3,' Silo Emissions'!$G$17, "")&lt;0.001,"&lt; 0.001",IF(' Silo Emissions'!$G$5&gt;=3,' Silo Emissions'!$G$17, ""))</f>
        <v/>
      </c>
      <c r="F15" s="238" t="str">
        <f>IF(IF(' Silo Emissions'!$G$5&gt;=3,' Silo Emissions'!$G$18, "")&lt;0.001,"&lt; 0.001",IF(' Silo Emissions'!$G$5&gt;=3,' Silo Emissions'!$G$18, ""))</f>
        <v/>
      </c>
      <c r="G15" s="238" t="str">
        <f>IF(IF(' Silo Emissions'!$G$5&gt;=3,' Silo Emissions'!$G$19, "")&lt;0.001,"&lt; 0.001",IF(' Silo Emissions'!$G$5&gt;=3,' Silo Emissions'!$G$19, ""))</f>
        <v/>
      </c>
      <c r="H15" s="238" t="str">
        <f>IF(IF(' Silo Emissions'!$G$5&gt;=3,' Silo Emissions'!$G$20, "")&lt;0.001,"&lt; 0.001",IF(' Silo Emissions'!$G$5&gt;=3,' Silo Emissions'!$G$20, ""))</f>
        <v/>
      </c>
      <c r="I15" s="236" t="s">
        <v>92</v>
      </c>
      <c r="J15" s="8"/>
    </row>
    <row r="16" spans="1:12" x14ac:dyDescent="0.25">
      <c r="A16" s="210" t="str">
        <f>IF(' Silo Emissions'!H11="","", ' Silo Emissions'!H11)</f>
        <v/>
      </c>
      <c r="B16" s="230" t="str">
        <f>IF(' Silo Emissions'!G5&gt;=4,"Cement Silo #4", "")</f>
        <v/>
      </c>
      <c r="C16" s="238" t="str">
        <f>IF(IF(' Silo Emissions'!$G$5&gt;=4,' Silo Emissions'!$H$15, "")&lt;0.001,"&lt; 0.001",IF(' Silo Emissions'!$G$5&gt;=4,' Silo Emissions'!$H$15, ""))</f>
        <v/>
      </c>
      <c r="D16" s="238" t="str">
        <f>IF(IF(' Silo Emissions'!$G$5&gt;=4,' Silo Emissions'!$H$16, "")&lt;0.001,"&lt; 0.001",IF(' Silo Emissions'!$G$5&gt;=4,' Silo Emissions'!$H$16, ""))</f>
        <v/>
      </c>
      <c r="E16" s="238" t="str">
        <f>IF(IF(' Silo Emissions'!$G$5&gt;=4,' Silo Emissions'!$H$17, "")&lt;0.001,"&lt; 0.001",IF(' Silo Emissions'!$G$5&gt;=4,' Silo Emissions'!$H$17, ""))</f>
        <v/>
      </c>
      <c r="F16" s="238" t="str">
        <f>IF(IF(' Silo Emissions'!$G$5&gt;=4,' Silo Emissions'!$H$18, "")&lt;0.001,"&lt; 0.001",IF(' Silo Emissions'!$G$5&gt;=4,' Silo Emissions'!$H$18, ""))</f>
        <v/>
      </c>
      <c r="G16" s="238" t="str">
        <f>IF(IF(' Silo Emissions'!$G$5&gt;=4,' Silo Emissions'!$H$19, "")&lt;0.001,"&lt; 0.001",IF(' Silo Emissions'!$G$5&gt;=4,' Silo Emissions'!$H$19, ""))</f>
        <v/>
      </c>
      <c r="H16" s="238" t="str">
        <f>IF(IF(' Silo Emissions'!$G$5&gt;=4,' Silo Emissions'!$H$20, "")&lt;0.001,"&lt; 0.001",IF(' Silo Emissions'!$G$5&gt;=4,' Silo Emissions'!$H$20, ""))</f>
        <v/>
      </c>
      <c r="I16" s="236" t="s">
        <v>92</v>
      </c>
      <c r="J16" s="8"/>
    </row>
    <row r="17" spans="1:10" x14ac:dyDescent="0.25">
      <c r="A17" s="210" t="str">
        <f>IF(' Silo Emissions'!G28="","", ' Silo Emissions'!G28)</f>
        <v/>
      </c>
      <c r="B17" s="230" t="str">
        <f>IF(' Silo Emissions'!G22&gt;=3,"Supplement Silo #3", "")</f>
        <v/>
      </c>
      <c r="C17" s="238" t="str">
        <f>IF(IF(' Silo Emissions'!$G$22&gt;=3,' Silo Emissions'!$G$32,"")&lt;0.001,"&lt; 0.001",IF(' Silo Emissions'!$G$22&gt;=3,' Silo Emissions'!$G$32,""))</f>
        <v/>
      </c>
      <c r="D17" s="238" t="str">
        <f>IF(IF(' Silo Emissions'!$G$22&gt;=3,' Silo Emissions'!$G$33,"")&lt;0.001,"&lt; 0.001",IF(' Silo Emissions'!$G$22&gt;=3,' Silo Emissions'!$G$33,""))</f>
        <v/>
      </c>
      <c r="E17" s="238" t="str">
        <f>IF(IF(' Silo Emissions'!$G$22&gt;=3,' Silo Emissions'!$G$34,"")&lt;0.001,"&lt; 0.001",IF(' Silo Emissions'!$G$22&gt;=3,' Silo Emissions'!$G$34,""))</f>
        <v/>
      </c>
      <c r="F17" s="238" t="str">
        <f>IF(IF(' Silo Emissions'!$G$22&gt;=3,' Silo Emissions'!$G$35,"")&lt;0.001,"&lt; 0.001",IF(' Silo Emissions'!$G$22&gt;=3,' Silo Emissions'!$G$35,""))</f>
        <v/>
      </c>
      <c r="G17" s="238" t="str">
        <f>IF(IF(' Silo Emissions'!$G$22&gt;=3,' Silo Emissions'!$G$36,"")&lt;0.001,"&lt; 0.001",IF(' Silo Emissions'!$G$22&gt;=3,' Silo Emissions'!$G$36,""))</f>
        <v/>
      </c>
      <c r="H17" s="238" t="str">
        <f>IF(IF(' Silo Emissions'!$G$22&gt;=3,' Silo Emissions'!$G$37,"")&lt;0.001,"&lt; 0.001",IF(' Silo Emissions'!$G$22&gt;=3,' Silo Emissions'!$G$37,""))</f>
        <v/>
      </c>
      <c r="I17" s="236" t="s">
        <v>92</v>
      </c>
      <c r="J17" s="8"/>
    </row>
    <row r="18" spans="1:10" x14ac:dyDescent="0.25">
      <c r="A18" s="199" t="str">
        <f>IF(' Silo Emissions'!H28="","", ' Silo Emissions'!H28)</f>
        <v/>
      </c>
      <c r="B18" s="230" t="str">
        <f>IF(' Silo Emissions'!G22&gt;=4,"Supplement Silo #4", "")</f>
        <v/>
      </c>
      <c r="C18" s="238" t="str">
        <f>IF(IF(' Silo Emissions'!$G$22&gt;=4,' Silo Emissions'!$H$32,"")&lt;0.001,"&lt; 0.001",IF(' Silo Emissions'!$G$22&gt;=4,' Silo Emissions'!$H$32,""))</f>
        <v/>
      </c>
      <c r="D18" s="238" t="str">
        <f>IF(IF(' Silo Emissions'!$G$22&gt;=4,' Silo Emissions'!$H$33,"")&lt;0.001,"&lt; 0.001",IF(' Silo Emissions'!$G$22&gt;=4,' Silo Emissions'!$H$33,""))</f>
        <v/>
      </c>
      <c r="E18" s="238" t="str">
        <f>IF(IF(' Silo Emissions'!$G$22&gt;=4,' Silo Emissions'!$H$34,"")&lt;0.001,"&lt; 0.001",IF(' Silo Emissions'!$G$22&gt;=4,' Silo Emissions'!$H$34,""))</f>
        <v/>
      </c>
      <c r="F18" s="238" t="str">
        <f>IF(IF(' Silo Emissions'!$G$22&gt;=4,' Silo Emissions'!$H$35,"")&lt;0.001,"&lt; 0.001",IF(' Silo Emissions'!$G$22&gt;=4,' Silo Emissions'!$H$35,""))</f>
        <v/>
      </c>
      <c r="G18" s="238" t="str">
        <f>IF(IF(' Silo Emissions'!$G$22&gt;=4,' Silo Emissions'!$H$36,"")&lt;0.001,"&lt; 0.001",IF(' Silo Emissions'!$G$22&gt;=4,' Silo Emissions'!$H$36,""))</f>
        <v/>
      </c>
      <c r="H18" s="238" t="str">
        <f>IF(IF(' Silo Emissions'!$G$22&gt;=4,' Silo Emissions'!$H$37,"")&lt;0.001,"&lt; 0.001",IF(' Silo Emissions'!$G$22&gt;=4,' Silo Emissions'!$H$37,""))</f>
        <v/>
      </c>
      <c r="I18" s="236" t="s">
        <v>92</v>
      </c>
      <c r="J18" s="8"/>
    </row>
    <row r="19" spans="1:10" s="180" customFormat="1" ht="15" customHeight="1" x14ac:dyDescent="0.25">
      <c r="A19" s="385" t="str">
        <f>IF(OR(' Silo Emissions'!E39="",' Silo Emissions'!E39="No"),"",IF(' Silo Emissions'!E41="No","*The cement/supplement weigh hopper is vented to the following filter:",""))</f>
        <v/>
      </c>
      <c r="B19" s="385"/>
      <c r="C19" s="385"/>
      <c r="D19" s="385"/>
      <c r="E19" s="383" t="str">
        <f>IF(OR(' Silo Emissions'!E39="",' Silo Emissions'!E39="No"),"",IF(' Silo Emissions'!E39="No","",IF(' Silo Emissions'!E41="No", ' Silo Emissions'!F42,"")))</f>
        <v/>
      </c>
      <c r="F19" s="383"/>
      <c r="G19" s="383"/>
      <c r="H19" s="383"/>
      <c r="I19" s="383"/>
    </row>
    <row r="20" spans="1:10" s="181" customFormat="1" ht="15" customHeight="1" x14ac:dyDescent="0.25">
      <c r="A20" s="384" t="s">
        <v>115</v>
      </c>
      <c r="B20" s="384"/>
      <c r="C20" s="384"/>
      <c r="D20" s="384"/>
      <c r="E20" s="384"/>
      <c r="F20" s="384"/>
      <c r="G20" s="384"/>
      <c r="H20" s="384"/>
      <c r="I20" s="384"/>
    </row>
    <row r="21" spans="1:10" s="181" customFormat="1" ht="15.75" hidden="1" customHeight="1" x14ac:dyDescent="0.25"/>
    <row r="22" spans="1:10" s="181" customFormat="1" ht="16.5" hidden="1" customHeight="1" x14ac:dyDescent="0.25"/>
    <row r="23" spans="1:10" s="181" customFormat="1" ht="15" hidden="1" customHeight="1" x14ac:dyDescent="0.25"/>
    <row r="24" spans="1:10" s="181" customFormat="1" ht="15" hidden="1" customHeight="1" x14ac:dyDescent="0.25"/>
    <row r="25" spans="1:10" hidden="1" x14ac:dyDescent="0.25">
      <c r="A25" s="135"/>
      <c r="B25" s="135"/>
      <c r="C25" s="135"/>
      <c r="D25" s="135"/>
      <c r="E25" s="135"/>
      <c r="F25" s="135"/>
      <c r="G25" s="136"/>
      <c r="H25" s="135"/>
      <c r="I25" s="135"/>
      <c r="J25" s="8"/>
    </row>
    <row r="26" spans="1:10" hidden="1" x14ac:dyDescent="0.25">
      <c r="A26" s="135"/>
      <c r="B26" s="135"/>
      <c r="C26" s="135"/>
      <c r="D26" s="135"/>
      <c r="E26" s="135"/>
      <c r="F26" s="135"/>
      <c r="G26" s="135"/>
      <c r="H26" s="135"/>
      <c r="I26" s="135"/>
      <c r="J26" s="8"/>
    </row>
    <row r="27" spans="1:10" hidden="1" x14ac:dyDescent="0.25">
      <c r="A27" s="135"/>
      <c r="B27" s="135"/>
      <c r="C27" s="135"/>
      <c r="D27" s="135"/>
      <c r="E27" s="135"/>
      <c r="F27" s="135"/>
      <c r="G27" s="135"/>
      <c r="H27" s="135"/>
      <c r="I27" s="135"/>
      <c r="J27" s="8"/>
    </row>
    <row r="28" spans="1:10" hidden="1" x14ac:dyDescent="0.25">
      <c r="A28" s="135"/>
      <c r="B28" s="135"/>
      <c r="C28" s="135"/>
      <c r="D28" s="135"/>
      <c r="E28" s="135"/>
      <c r="F28" s="135"/>
      <c r="G28" s="135"/>
      <c r="H28" s="135"/>
      <c r="I28" s="135"/>
      <c r="J28" s="8"/>
    </row>
    <row r="29" spans="1:10" hidden="1" x14ac:dyDescent="0.25">
      <c r="A29" s="84"/>
      <c r="B29" s="84"/>
      <c r="C29" s="84"/>
      <c r="D29" s="84"/>
      <c r="E29" s="84"/>
      <c r="F29" s="84"/>
      <c r="G29" s="84"/>
      <c r="H29" s="84"/>
      <c r="I29" s="84"/>
    </row>
    <row r="30" spans="1:10" hidden="1" x14ac:dyDescent="0.25">
      <c r="A30" s="84"/>
      <c r="B30" s="84"/>
      <c r="C30" s="84"/>
      <c r="D30" s="84"/>
      <c r="E30" s="84"/>
      <c r="F30" s="84"/>
      <c r="G30" s="84"/>
      <c r="H30" s="84"/>
      <c r="I30" s="84"/>
    </row>
    <row r="31" spans="1:10" hidden="1" x14ac:dyDescent="0.25">
      <c r="A31" s="84"/>
      <c r="B31" s="84"/>
      <c r="C31" s="84"/>
      <c r="D31" s="84"/>
      <c r="E31" s="84"/>
      <c r="F31" s="84"/>
      <c r="G31" s="84"/>
      <c r="H31" s="84"/>
      <c r="I31" s="84"/>
    </row>
    <row r="32" spans="1:10" hidden="1" x14ac:dyDescent="0.25">
      <c r="A32" s="84"/>
      <c r="B32" s="84"/>
      <c r="C32" s="84"/>
      <c r="D32" s="84"/>
      <c r="E32" s="84"/>
      <c r="F32" s="84"/>
      <c r="G32" s="84"/>
      <c r="H32" s="84"/>
      <c r="I32" s="84"/>
    </row>
    <row r="33" spans="1:9" hidden="1" x14ac:dyDescent="0.25">
      <c r="A33" s="84"/>
      <c r="B33" s="84"/>
      <c r="C33" s="84"/>
      <c r="D33" s="84"/>
      <c r="E33" s="84"/>
      <c r="F33" s="84"/>
      <c r="G33" s="84"/>
      <c r="H33" s="84"/>
      <c r="I33" s="84"/>
    </row>
    <row r="34" spans="1:9" hidden="1" x14ac:dyDescent="0.25">
      <c r="A34" s="84"/>
      <c r="B34" s="84"/>
      <c r="C34" s="84"/>
      <c r="D34" s="84"/>
      <c r="E34" s="84"/>
      <c r="F34" s="84"/>
      <c r="G34" s="84"/>
      <c r="H34" s="84"/>
      <c r="I34" s="84"/>
    </row>
  </sheetData>
  <sheetProtection algorithmName="SHA-512" hashValue="8r5iQ3hSibdRokl4uNRs/fCCCTPms4X2HZuPHHWSgYvTeOIjJmwrc1i+HTWRxJ0PQaH/rj6/EWfmSEGwnRSe7Q==" saltValue="DDizyQGxFTsphz4LeKuN4Q==" spinCount="100000" sheet="1" objects="1" scenarios="1"/>
  <mergeCells count="9">
    <mergeCell ref="A1:I1"/>
    <mergeCell ref="A2:I2"/>
    <mergeCell ref="A3:I3"/>
    <mergeCell ref="E19:I19"/>
    <mergeCell ref="A20:I20"/>
    <mergeCell ref="A19:D19"/>
    <mergeCell ref="C4:D4"/>
    <mergeCell ref="E4:F4"/>
    <mergeCell ref="G4:H4"/>
  </mergeCells>
  <conditionalFormatting sqref="D10">
    <cfRule type="expression" priority="4">
      <formula>$B$10="Cement Weigh Hopper*"</formula>
    </cfRule>
  </conditionalFormatting>
  <dataValidations count="1">
    <dataValidation allowBlank="1" showErrorMessage="1" sqref="A6:A11" xr:uid="{98EC52C7-981C-4F0F-ACD8-A65D126E3893}"/>
  </dataValidations>
  <pageMargins left="0.7" right="0.7" top="0.75" bottom="0.75" header="0.3" footer="0.3"/>
  <pageSetup scale="95" pageOrder="overThenDown"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XFC21"/>
  <sheetViews>
    <sheetView zoomScaleNormal="100" workbookViewId="0">
      <selection sqref="A1:M1"/>
    </sheetView>
  </sheetViews>
  <sheetFormatPr defaultColWidth="0" defaultRowHeight="15" zeroHeight="1" x14ac:dyDescent="0.25"/>
  <cols>
    <col min="1" max="12" width="9.140625" style="19" customWidth="1"/>
    <col min="13" max="13" width="25.85546875" style="19" customWidth="1"/>
    <col min="14" max="16383" width="9.140625" style="19" hidden="1"/>
    <col min="16384" max="16384" width="6.140625" style="19" hidden="1" customWidth="1"/>
  </cols>
  <sheetData>
    <row r="1" spans="1:13" x14ac:dyDescent="0.25">
      <c r="A1" s="391" t="s">
        <v>87</v>
      </c>
      <c r="B1" s="391"/>
      <c r="C1" s="391"/>
      <c r="D1" s="391"/>
      <c r="E1" s="391"/>
      <c r="F1" s="391"/>
      <c r="G1" s="391"/>
      <c r="H1" s="391"/>
      <c r="I1" s="391"/>
      <c r="J1" s="391"/>
      <c r="K1" s="391"/>
      <c r="L1" s="391"/>
      <c r="M1" s="391"/>
    </row>
    <row r="2" spans="1:13" ht="47.25" customHeight="1" x14ac:dyDescent="0.25">
      <c r="A2" s="257" t="s">
        <v>78</v>
      </c>
      <c r="B2" s="257"/>
      <c r="C2" s="257"/>
      <c r="D2" s="257"/>
      <c r="E2" s="257"/>
      <c r="F2" s="257"/>
      <c r="G2" s="257"/>
      <c r="H2" s="257"/>
      <c r="I2" s="257"/>
      <c r="J2" s="257"/>
      <c r="K2" s="257"/>
      <c r="L2" s="257"/>
      <c r="M2" s="257"/>
    </row>
    <row r="3" spans="1:13" ht="60.75" customHeight="1" x14ac:dyDescent="0.25">
      <c r="A3" s="334" t="s">
        <v>145</v>
      </c>
      <c r="B3" s="334"/>
      <c r="C3" s="334"/>
      <c r="D3" s="334"/>
      <c r="E3" s="334"/>
      <c r="F3" s="334"/>
      <c r="G3" s="334"/>
      <c r="H3" s="334"/>
      <c r="I3" s="334"/>
      <c r="J3" s="334"/>
      <c r="K3" s="334"/>
      <c r="L3" s="334"/>
      <c r="M3" s="334"/>
    </row>
    <row r="4" spans="1:13" ht="25.5" customHeight="1" thickBot="1" x14ac:dyDescent="0.3">
      <c r="A4" s="390" t="s">
        <v>24</v>
      </c>
      <c r="B4" s="390"/>
      <c r="C4" s="390"/>
      <c r="D4" s="390"/>
      <c r="E4" s="390"/>
      <c r="F4" s="390"/>
      <c r="G4" s="390"/>
      <c r="H4" s="390"/>
      <c r="I4" s="390"/>
      <c r="J4" s="390"/>
      <c r="K4" s="390"/>
      <c r="L4" s="390"/>
      <c r="M4" s="390"/>
    </row>
    <row r="5" spans="1:13" ht="28.5" customHeight="1" thickTop="1" x14ac:dyDescent="0.25">
      <c r="A5" s="263" t="s">
        <v>131</v>
      </c>
      <c r="B5" s="263"/>
      <c r="C5" s="263"/>
      <c r="D5" s="263"/>
      <c r="E5" s="263"/>
      <c r="F5" s="263"/>
      <c r="G5" s="263"/>
      <c r="H5" s="263"/>
      <c r="I5" s="263"/>
      <c r="J5" s="263"/>
      <c r="K5" s="263"/>
      <c r="L5" s="263"/>
      <c r="M5" s="263"/>
    </row>
    <row r="6" spans="1:13" ht="27" customHeight="1" thickBot="1" x14ac:dyDescent="0.3">
      <c r="A6" s="390" t="s">
        <v>79</v>
      </c>
      <c r="B6" s="390"/>
      <c r="C6" s="390"/>
      <c r="D6" s="390"/>
      <c r="E6" s="390"/>
      <c r="F6" s="390"/>
      <c r="G6" s="390"/>
      <c r="H6" s="390"/>
      <c r="I6" s="390"/>
      <c r="J6" s="390"/>
      <c r="K6" s="390"/>
      <c r="L6" s="390"/>
      <c r="M6" s="390"/>
    </row>
    <row r="7" spans="1:13" ht="68.25" customHeight="1" thickTop="1" x14ac:dyDescent="0.25">
      <c r="A7" s="389" t="s">
        <v>132</v>
      </c>
      <c r="B7" s="389"/>
      <c r="C7" s="389"/>
      <c r="D7" s="389"/>
      <c r="E7" s="389"/>
      <c r="F7" s="389"/>
      <c r="G7" s="389"/>
      <c r="H7" s="389"/>
      <c r="I7" s="389"/>
      <c r="J7" s="389"/>
      <c r="K7" s="389"/>
      <c r="L7" s="389"/>
      <c r="M7" s="389"/>
    </row>
    <row r="8" spans="1:13" ht="28.5" customHeight="1" thickBot="1" x14ac:dyDescent="0.3">
      <c r="A8" s="390" t="s">
        <v>74</v>
      </c>
      <c r="B8" s="390"/>
      <c r="C8" s="390"/>
      <c r="D8" s="390"/>
      <c r="E8" s="390"/>
      <c r="F8" s="390"/>
      <c r="G8" s="390"/>
      <c r="H8" s="390"/>
      <c r="I8" s="390"/>
      <c r="J8" s="390"/>
      <c r="K8" s="390"/>
      <c r="L8" s="390"/>
      <c r="M8" s="390"/>
    </row>
    <row r="9" spans="1:13" ht="100.5" customHeight="1" thickTop="1" x14ac:dyDescent="0.25">
      <c r="A9" s="388" t="s">
        <v>133</v>
      </c>
      <c r="B9" s="388"/>
      <c r="C9" s="388"/>
      <c r="D9" s="388"/>
      <c r="E9" s="388"/>
      <c r="F9" s="388"/>
      <c r="G9" s="388"/>
      <c r="H9" s="388"/>
      <c r="I9" s="388"/>
      <c r="J9" s="388"/>
      <c r="K9" s="388"/>
      <c r="L9" s="388"/>
      <c r="M9" s="388"/>
    </row>
    <row r="10" spans="1:13" ht="28.5" customHeight="1" thickBot="1" x14ac:dyDescent="0.3">
      <c r="A10" s="336" t="s">
        <v>76</v>
      </c>
      <c r="B10" s="336"/>
      <c r="C10" s="336"/>
      <c r="D10" s="336"/>
      <c r="E10" s="336"/>
      <c r="F10" s="336"/>
      <c r="G10" s="336"/>
      <c r="H10" s="336"/>
      <c r="I10" s="336"/>
      <c r="J10" s="336"/>
      <c r="K10" s="336"/>
      <c r="L10" s="336"/>
      <c r="M10" s="336"/>
    </row>
    <row r="11" spans="1:13" ht="81" customHeight="1" thickTop="1" x14ac:dyDescent="0.25">
      <c r="A11" s="389" t="s">
        <v>136</v>
      </c>
      <c r="B11" s="389"/>
      <c r="C11" s="389"/>
      <c r="D11" s="389"/>
      <c r="E11" s="389"/>
      <c r="F11" s="389"/>
      <c r="G11" s="389"/>
      <c r="H11" s="389"/>
      <c r="I11" s="389"/>
      <c r="J11" s="389"/>
      <c r="K11" s="389"/>
      <c r="L11" s="389"/>
      <c r="M11" s="389"/>
    </row>
    <row r="12" spans="1:13" ht="27.75" customHeight="1" thickBot="1" x14ac:dyDescent="0.3">
      <c r="A12" s="390" t="s">
        <v>80</v>
      </c>
      <c r="B12" s="390"/>
      <c r="C12" s="390"/>
      <c r="D12" s="390"/>
      <c r="E12" s="390"/>
      <c r="F12" s="390"/>
      <c r="G12" s="390"/>
      <c r="H12" s="390"/>
      <c r="I12" s="390"/>
      <c r="J12" s="390"/>
      <c r="K12" s="390"/>
      <c r="L12" s="390"/>
      <c r="M12" s="390"/>
    </row>
    <row r="13" spans="1:13" ht="96.75" customHeight="1" thickTop="1" x14ac:dyDescent="0.25">
      <c r="A13" s="392" t="s">
        <v>134</v>
      </c>
      <c r="B13" s="392"/>
      <c r="C13" s="392"/>
      <c r="D13" s="392"/>
      <c r="E13" s="392"/>
      <c r="F13" s="392"/>
      <c r="G13" s="392"/>
      <c r="H13" s="392"/>
      <c r="I13" s="392"/>
      <c r="J13" s="392"/>
      <c r="K13" s="392"/>
      <c r="L13" s="392"/>
      <c r="M13" s="392"/>
    </row>
    <row r="14" spans="1:13" ht="28.5" customHeight="1" thickBot="1" x14ac:dyDescent="0.3">
      <c r="A14" s="390" t="s">
        <v>81</v>
      </c>
      <c r="B14" s="390"/>
      <c r="C14" s="390"/>
      <c r="D14" s="390"/>
      <c r="E14" s="390"/>
      <c r="F14" s="390"/>
      <c r="G14" s="390"/>
      <c r="H14" s="390"/>
      <c r="I14" s="390"/>
      <c r="J14" s="390"/>
      <c r="K14" s="390"/>
      <c r="L14" s="390"/>
      <c r="M14" s="390"/>
    </row>
    <row r="15" spans="1:13" ht="60" customHeight="1" thickTop="1" x14ac:dyDescent="0.25">
      <c r="A15" s="393" t="s">
        <v>137</v>
      </c>
      <c r="B15" s="393"/>
      <c r="C15" s="393"/>
      <c r="D15" s="393"/>
      <c r="E15" s="393"/>
      <c r="F15" s="393"/>
      <c r="G15" s="393"/>
      <c r="H15" s="393"/>
      <c r="I15" s="393"/>
      <c r="J15" s="393"/>
      <c r="K15" s="393"/>
      <c r="L15" s="393"/>
      <c r="M15" s="393"/>
    </row>
    <row r="16" spans="1:13" x14ac:dyDescent="0.25">
      <c r="A16" s="243" t="s">
        <v>135</v>
      </c>
      <c r="B16" s="243"/>
      <c r="C16" s="243"/>
      <c r="D16" s="243"/>
      <c r="E16" s="243"/>
      <c r="F16" s="243"/>
      <c r="G16" s="243"/>
      <c r="H16" s="243"/>
      <c r="I16" s="243"/>
      <c r="J16" s="243"/>
      <c r="K16" s="243"/>
      <c r="L16" s="243"/>
      <c r="M16" s="243"/>
    </row>
    <row r="17" spans="1:13" hidden="1" x14ac:dyDescent="0.25">
      <c r="A17" s="56"/>
      <c r="B17" s="56"/>
      <c r="C17" s="56"/>
      <c r="D17" s="56"/>
      <c r="E17" s="56"/>
      <c r="F17" s="56"/>
      <c r="G17" s="56"/>
      <c r="H17" s="56"/>
      <c r="I17" s="56"/>
      <c r="J17" s="56"/>
      <c r="K17" s="56"/>
      <c r="L17" s="56"/>
      <c r="M17" s="56"/>
    </row>
    <row r="18" spans="1:13" hidden="1" x14ac:dyDescent="0.25">
      <c r="A18" s="117"/>
      <c r="B18" s="56"/>
      <c r="C18" s="56"/>
      <c r="D18" s="56"/>
      <c r="E18" s="56"/>
      <c r="F18" s="56"/>
      <c r="G18" s="56"/>
      <c r="H18" s="56"/>
      <c r="I18" s="56"/>
      <c r="J18" s="56"/>
      <c r="K18" s="56"/>
      <c r="L18" s="56"/>
      <c r="M18" s="56"/>
    </row>
    <row r="19" spans="1:13" hidden="1" x14ac:dyDescent="0.25">
      <c r="A19" s="46"/>
    </row>
    <row r="20" spans="1:13" hidden="1" x14ac:dyDescent="0.25"/>
    <row r="21" spans="1:13" hidden="1" x14ac:dyDescent="0.25">
      <c r="A21" s="46"/>
    </row>
  </sheetData>
  <sheetProtection selectLockedCells="1"/>
  <mergeCells count="16">
    <mergeCell ref="A16:M16"/>
    <mergeCell ref="A9:M9"/>
    <mergeCell ref="A11:M11"/>
    <mergeCell ref="A14:M14"/>
    <mergeCell ref="A1:M1"/>
    <mergeCell ref="A2:M2"/>
    <mergeCell ref="A5:M5"/>
    <mergeCell ref="A6:M6"/>
    <mergeCell ref="A7:M7"/>
    <mergeCell ref="A3:M3"/>
    <mergeCell ref="A13:M13"/>
    <mergeCell ref="A4:M4"/>
    <mergeCell ref="A8:M8"/>
    <mergeCell ref="A10:M10"/>
    <mergeCell ref="A12:M12"/>
    <mergeCell ref="A15:M15"/>
  </mergeCells>
  <pageMargins left="0.7" right="0.7" top="0.75" bottom="0.75" header="0.3" footer="0.3"/>
  <pageSetup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D2:R15"/>
  <sheetViews>
    <sheetView workbookViewId="0">
      <selection sqref="A1:XFD1048576"/>
    </sheetView>
  </sheetViews>
  <sheetFormatPr defaultRowHeight="15" x14ac:dyDescent="0.25"/>
  <cols>
    <col min="4" max="4" width="26.5703125" customWidth="1"/>
    <col min="14" max="14" width="12.85546875" customWidth="1"/>
  </cols>
  <sheetData>
    <row r="2" spans="4:18" ht="23.25" x14ac:dyDescent="0.35">
      <c r="H2" s="6" t="s">
        <v>77</v>
      </c>
      <c r="I2" s="7"/>
      <c r="J2" s="7"/>
    </row>
    <row r="3" spans="4:18" x14ac:dyDescent="0.25">
      <c r="G3" s="2" t="s">
        <v>65</v>
      </c>
    </row>
    <row r="4" spans="4:18" ht="15.75" x14ac:dyDescent="0.25">
      <c r="D4" s="3"/>
      <c r="F4" s="2" t="s">
        <v>66</v>
      </c>
      <c r="J4" s="2" t="s">
        <v>59</v>
      </c>
      <c r="N4" s="2" t="s">
        <v>61</v>
      </c>
      <c r="P4" s="2" t="s">
        <v>70</v>
      </c>
      <c r="R4" s="2" t="s">
        <v>75</v>
      </c>
    </row>
    <row r="5" spans="4:18" ht="15.75" x14ac:dyDescent="0.25">
      <c r="D5" s="3" t="s">
        <v>60</v>
      </c>
      <c r="F5" s="3" t="s">
        <v>23</v>
      </c>
      <c r="G5" s="3" t="s">
        <v>23</v>
      </c>
    </row>
    <row r="6" spans="4:18" ht="15.75" x14ac:dyDescent="0.25">
      <c r="D6" s="3" t="s">
        <v>50</v>
      </c>
      <c r="F6" s="3" t="s">
        <v>27</v>
      </c>
      <c r="G6" s="3" t="s">
        <v>27</v>
      </c>
      <c r="J6" s="2" t="s">
        <v>16</v>
      </c>
      <c r="N6" s="2" t="s">
        <v>62</v>
      </c>
      <c r="P6">
        <v>0</v>
      </c>
      <c r="R6">
        <v>0</v>
      </c>
    </row>
    <row r="7" spans="4:18" x14ac:dyDescent="0.25">
      <c r="J7" s="2" t="s">
        <v>51</v>
      </c>
      <c r="N7" s="2" t="s">
        <v>63</v>
      </c>
      <c r="P7">
        <v>1</v>
      </c>
      <c r="R7">
        <v>1</v>
      </c>
    </row>
    <row r="8" spans="4:18" x14ac:dyDescent="0.25">
      <c r="J8" s="2" t="s">
        <v>52</v>
      </c>
      <c r="P8">
        <v>2</v>
      </c>
      <c r="R8">
        <v>2</v>
      </c>
    </row>
    <row r="9" spans="4:18" x14ac:dyDescent="0.25">
      <c r="J9" s="2" t="s">
        <v>53</v>
      </c>
      <c r="P9">
        <v>3</v>
      </c>
      <c r="R9">
        <v>3</v>
      </c>
    </row>
    <row r="10" spans="4:18" x14ac:dyDescent="0.25">
      <c r="J10" s="2" t="s">
        <v>54</v>
      </c>
      <c r="P10">
        <v>4</v>
      </c>
      <c r="R10">
        <v>4</v>
      </c>
    </row>
    <row r="11" spans="4:18" x14ac:dyDescent="0.25">
      <c r="J11" s="2" t="s">
        <v>55</v>
      </c>
      <c r="P11">
        <v>5</v>
      </c>
    </row>
    <row r="12" spans="4:18" x14ac:dyDescent="0.25">
      <c r="J12" s="2" t="s">
        <v>56</v>
      </c>
      <c r="P12">
        <v>6</v>
      </c>
    </row>
    <row r="13" spans="4:18" x14ac:dyDescent="0.25">
      <c r="J13" s="2" t="s">
        <v>57</v>
      </c>
      <c r="P13">
        <v>7</v>
      </c>
    </row>
    <row r="14" spans="4:18" x14ac:dyDescent="0.25">
      <c r="J14" s="2" t="s">
        <v>58</v>
      </c>
      <c r="P14">
        <v>8</v>
      </c>
    </row>
    <row r="15" spans="4:18" x14ac:dyDescent="0.25">
      <c r="J15" s="2"/>
      <c r="P15">
        <v>9</v>
      </c>
    </row>
  </sheetData>
  <sheetProtection password="9107" sheet="1" objects="1" scenarios="1"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21</vt:i4>
      </vt:variant>
    </vt:vector>
  </HeadingPairs>
  <TitlesOfParts>
    <vt:vector size="29" baseType="lpstr">
      <vt:lpstr>Workbook Summary &amp; Instructions</vt:lpstr>
      <vt:lpstr>General Plant Information</vt:lpstr>
      <vt:lpstr>Material Handling &amp; Stockpiles</vt:lpstr>
      <vt:lpstr> Silo Emissions</vt:lpstr>
      <vt:lpstr>Loading &amp; Baghouse Emissions</vt:lpstr>
      <vt:lpstr>Emissions Summary Table</vt:lpstr>
      <vt:lpstr>References</vt:lpstr>
      <vt:lpstr>Lists</vt:lpstr>
      <vt:lpstr>List</vt:lpstr>
      <vt:lpstr>List1</vt:lpstr>
      <vt:lpstr>List11</vt:lpstr>
      <vt:lpstr>List2</vt:lpstr>
      <vt:lpstr>List3</vt:lpstr>
      <vt:lpstr>List4</vt:lpstr>
      <vt:lpstr>List5</vt:lpstr>
      <vt:lpstr>List6</vt:lpstr>
      <vt:lpstr>' Silo Emissions'!Print_Area</vt:lpstr>
      <vt:lpstr>'Emissions Summary Table'!Print_Area</vt:lpstr>
      <vt:lpstr>'General Plant Information'!Print_Area</vt:lpstr>
      <vt:lpstr>'Loading &amp; Baghouse Emissions'!Print_Area</vt:lpstr>
      <vt:lpstr>'Material Handling &amp; Stockpiles'!Print_Area</vt:lpstr>
      <vt:lpstr>References!Print_Area</vt:lpstr>
      <vt:lpstr>'Workbook Summary &amp; Instructions'!Print_Area</vt:lpstr>
      <vt:lpstr>'Emissions Summary Table'!Test</vt:lpstr>
      <vt:lpstr>'General Plant Information'!TitleRegion1.a4.e5.2</vt:lpstr>
      <vt:lpstr>'General Plant Information'!TitleRegion2.a6.c7.2</vt:lpstr>
      <vt:lpstr>'General Plant Information'!TitleRegion3.a8.b9.2</vt:lpstr>
      <vt:lpstr>'General Plant Information'!TitleRegion4.a12.c16.2</vt:lpstr>
      <vt:lpstr>'General Plant Information'!TitleRegion5.a18.c22.2</vt:lpstr>
    </vt:vector>
  </TitlesOfParts>
  <Company>TCEQ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TCEQ Concrete Batch Plant Emission Rate Calculation Workbook</dc:title>
  <dc:subject>TCEQ</dc:subject>
  <dc:creator>TCEQ</dc:creator>
  <cp:keywords>concrete; batch; plant; emission; rate; calculation; workbook; facilities; general; composition; stockpiles; materials; silo; loading; baghouse; summary; table; references</cp:keywords>
  <cp:lastModifiedBy>Traci Spencer</cp:lastModifiedBy>
  <cp:lastPrinted>2018-12-18T19:57:08Z</cp:lastPrinted>
  <dcterms:created xsi:type="dcterms:W3CDTF">2011-01-19T13:33:23Z</dcterms:created>
  <dcterms:modified xsi:type="dcterms:W3CDTF">2020-02-19T15:49:47Z</dcterms:modified>
</cp:coreProperties>
</file>