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updateLinks="always" codeName="ThisWorkbook" defaultThemeVersion="124226"/>
  <mc:AlternateContent xmlns:mc="http://schemas.openxmlformats.org/markup-compatibility/2006">
    <mc:Choice Requires="x15">
      <x15ac:absPath xmlns:x15ac="http://schemas.microsoft.com/office/spreadsheetml/2010/11/ac" url="X:\Databases\APD\APD Projects\2979\working files\"/>
    </mc:Choice>
  </mc:AlternateContent>
  <xr:revisionPtr revIDLastSave="0" documentId="13_ncr:1_{0FB93C5C-8B44-4AB4-B31A-080873391FC6}" xr6:coauthVersionLast="47" xr6:coauthVersionMax="47" xr10:uidLastSave="{00000000-0000-0000-0000-000000000000}"/>
  <workbookProtection workbookAlgorithmName="SHA-512" workbookHashValue="ss/kusmdFONJAhyvDVFvzadRdC2/VroBl1/NVoDj9VD5mafC7c9ALhovbzyyBt5MPQmW8eOXLFcG+YjBCu0EQQ==" workbookSaltValue="Bl6hZCJJi0wruwvh5oxiDQ==" workbookSpinCount="100000" lockStructure="1"/>
  <bookViews>
    <workbookView xWindow="1560" yWindow="1560" windowWidth="15375" windowHeight="7875" tabRatio="910" xr2:uid="{927E33CD-E2F1-4D4E-8C2E-8BF810C5CACF}"/>
  </bookViews>
  <sheets>
    <sheet name="Cover" sheetId="52" r:id="rId1"/>
    <sheet name="PI-1S-CBP" sheetId="113" r:id="rId2"/>
    <sheet name="6004Checklist" sheetId="102" r:id="rId3"/>
    <sheet name="6008Checklist" sheetId="92" r:id="rId4"/>
    <sheet name="Table20-CBP" sheetId="98" r:id="rId5"/>
    <sheet name="Table11-CBP" sheetId="97" r:id="rId6"/>
    <sheet name="Table29-CBP" sheetId="99" r:id="rId7"/>
    <sheet name="Public Notice" sheetId="48" r:id="rId8"/>
    <sheet name="Fees" sheetId="67" r:id="rId9"/>
    <sheet name="Copies" sheetId="54" r:id="rId10"/>
    <sheet name="6004Requirements" sheetId="103" r:id="rId11"/>
    <sheet name="6008Requirements" sheetId="101" r:id="rId12"/>
    <sheet name="Reference" sheetId="22" state="veryHidden" r:id="rId13"/>
  </sheets>
  <definedNames>
    <definedName name="_xlnm._FilterDatabase" localSheetId="12" hidden="1">Reference!$A$15:$F$269</definedName>
    <definedName name="All60045A">Reference!$U$16:$U$18</definedName>
    <definedName name="ControlBatch">Reference!$N$15:$N$19</definedName>
    <definedName name="ControlPiles">Reference!$M$15:$M$17</definedName>
    <definedName name="ControlPilesAlt">Reference!$M$15:$M$18</definedName>
    <definedName name="Counties">Reference!$A$16:$A$269</definedName>
    <definedName name="_xlnm.Print_Area" localSheetId="2">'6004Checklist'!$A$1:$D$137</definedName>
    <definedName name="_xlnm.Print_Area" localSheetId="10">'6004Requirements'!$A$1:$F$180</definedName>
    <definedName name="_xlnm.Print_Area" localSheetId="3">'6008Checklist'!$A$1:$D$42</definedName>
    <definedName name="_xlnm.Print_Area" localSheetId="11">'6008Requirements'!$A$1:$D$61</definedName>
    <definedName name="_xlnm.Print_Area" localSheetId="9">Copies!$A$1:$D$12</definedName>
    <definedName name="_xlnm.Print_Area" localSheetId="0">Cover!$A$1:$B$54</definedName>
    <definedName name="_xlnm.Print_Area" localSheetId="8">Fees!$A$1:$G$28</definedName>
    <definedName name="_xlnm.Print_Area" localSheetId="1">'PI-1S-CBP'!$A$1:$B$185</definedName>
    <definedName name="_xlnm.Print_Area" localSheetId="7">'Public Notice'!$A$1:$B$66</definedName>
    <definedName name="_xlnm.Print_Area" localSheetId="5">'Table11-CBP'!$A$1:$B$99</definedName>
    <definedName name="_xlnm.Print_Area" localSheetId="4">'Table20-CBP'!$A$1:$B$25</definedName>
    <definedName name="_xlnm.Print_Area" localSheetId="6">'Table29-CBP'!$A$1:$B$46</definedName>
    <definedName name="RoadControl">Reference!$L$15:$L$18</definedName>
    <definedName name="RoadcontrolAlt">Reference!$L$15:$L$19</definedName>
    <definedName name="SIC">Reference!$O$15:$O$17</definedName>
    <definedName name="Specialty60045A">Reference!$U$16:$U$19</definedName>
    <definedName name="Today">Reference!$Z$15</definedName>
    <definedName name="Type6004">Reference!$K$15:$K$16</definedName>
    <definedName name="Type6008">Reference!$K$16</definedName>
    <definedName name="Yes_No">Reference!$I$16:$I$17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30" i="102" l="1"/>
  <c r="G107" i="113"/>
  <c r="G30" i="113"/>
  <c r="H124" i="102" l="1"/>
  <c r="H123" i="102"/>
  <c r="C104" i="102" l="1"/>
  <c r="H105" i="102" s="1"/>
  <c r="G119" i="102"/>
  <c r="G97" i="102"/>
  <c r="G100" i="102"/>
  <c r="C84" i="102"/>
  <c r="D84" i="102" s="1"/>
  <c r="G73" i="102"/>
  <c r="D73" i="102"/>
  <c r="G49" i="102"/>
  <c r="D49" i="102"/>
  <c r="J103" i="102"/>
  <c r="G103" i="102" s="1"/>
  <c r="D136" i="102"/>
  <c r="H101" i="102" l="1"/>
  <c r="H102" i="102"/>
  <c r="H103" i="102"/>
  <c r="C83" i="102"/>
  <c r="D83" i="102" s="1"/>
  <c r="G130" i="102"/>
  <c r="H83" i="102"/>
  <c r="I136" i="102"/>
  <c r="I131" i="102"/>
  <c r="B121" i="102"/>
  <c r="D81" i="102"/>
  <c r="K102" i="102"/>
  <c r="D102" i="102" s="1"/>
  <c r="D131" i="102"/>
  <c r="H76" i="102" l="1"/>
  <c r="H80" i="102"/>
  <c r="H81" i="102"/>
  <c r="H82" i="102"/>
  <c r="H75" i="102"/>
  <c r="D130" i="102"/>
  <c r="H77" i="102"/>
  <c r="H78" i="102"/>
  <c r="H79" i="102"/>
  <c r="H72" i="102"/>
  <c r="H73" i="102"/>
  <c r="H74" i="102"/>
  <c r="H84" i="102"/>
  <c r="D50" i="102"/>
  <c r="H113" i="113" l="1"/>
  <c r="C109" i="102" l="1"/>
  <c r="J129" i="102" l="1"/>
  <c r="D129" i="102" l="1"/>
  <c r="J135" i="102" l="1"/>
  <c r="G135" i="102" s="1"/>
  <c r="D121" i="102"/>
  <c r="G123" i="102"/>
  <c r="D122" i="102"/>
  <c r="D123" i="102"/>
  <c r="D115" i="102"/>
  <c r="G81" i="102" l="1"/>
  <c r="G92" i="113" l="1"/>
  <c r="G187" i="113"/>
  <c r="G188" i="113"/>
  <c r="H30" i="102" l="1"/>
  <c r="H29" i="102"/>
  <c r="C143" i="102" l="1"/>
  <c r="G157" i="113"/>
  <c r="J93" i="102"/>
  <c r="K93" i="102" s="1"/>
  <c r="B98" i="113"/>
  <c r="A7" i="54" s="1"/>
  <c r="G168" i="113"/>
  <c r="G167" i="113"/>
  <c r="H12" i="113"/>
  <c r="H11" i="113"/>
  <c r="Q15" i="22"/>
  <c r="A4" i="48"/>
  <c r="C142" i="102"/>
  <c r="H138" i="102"/>
  <c r="H137" i="102"/>
  <c r="H136" i="102"/>
  <c r="H135" i="102"/>
  <c r="H134" i="102"/>
  <c r="H133" i="102"/>
  <c r="H128" i="102"/>
  <c r="H129" i="102"/>
  <c r="H130" i="102"/>
  <c r="H131" i="102"/>
  <c r="H132" i="102"/>
  <c r="H140" i="102"/>
  <c r="H141" i="102"/>
  <c r="H142" i="102"/>
  <c r="H143" i="102"/>
  <c r="H144" i="102"/>
  <c r="H145" i="102"/>
  <c r="H146" i="102"/>
  <c r="H147" i="102"/>
  <c r="H148" i="102"/>
  <c r="H149" i="102"/>
  <c r="H150" i="102"/>
  <c r="H151" i="102"/>
  <c r="H152" i="102"/>
  <c r="H153" i="102"/>
  <c r="H139" i="102"/>
  <c r="H127" i="102"/>
  <c r="H126" i="102"/>
  <c r="H125" i="102"/>
  <c r="H122" i="102"/>
  <c r="H116" i="102"/>
  <c r="H117" i="102"/>
  <c r="H118" i="102"/>
  <c r="H119" i="102"/>
  <c r="H120" i="102"/>
  <c r="H121" i="102"/>
  <c r="H115" i="102"/>
  <c r="H114" i="102"/>
  <c r="H113" i="102"/>
  <c r="H112" i="102"/>
  <c r="H111" i="102"/>
  <c r="H110" i="102"/>
  <c r="H109" i="102"/>
  <c r="H108" i="102"/>
  <c r="H107" i="102"/>
  <c r="H106" i="102"/>
  <c r="H104" i="102"/>
  <c r="J100" i="102"/>
  <c r="K99" i="102"/>
  <c r="D99" i="102" s="1"/>
  <c r="J97" i="102"/>
  <c r="K96" i="102"/>
  <c r="D96" i="102" s="1"/>
  <c r="J94" i="102"/>
  <c r="H91" i="102"/>
  <c r="H90" i="102"/>
  <c r="C21" i="102"/>
  <c r="C22" i="102"/>
  <c r="H16" i="102" s="1"/>
  <c r="C6" i="102"/>
  <c r="D79" i="102" l="1"/>
  <c r="G79" i="102"/>
  <c r="K97" i="102"/>
  <c r="D97" i="102" s="1"/>
  <c r="K103" i="102"/>
  <c r="D103" i="102" s="1"/>
  <c r="K100" i="102"/>
  <c r="D100" i="102" s="1"/>
  <c r="D94" i="102"/>
  <c r="K94" i="102"/>
  <c r="Q16" i="22"/>
  <c r="Q17" i="22" s="1"/>
  <c r="H20" i="102"/>
  <c r="G22" i="113"/>
  <c r="A23" i="102"/>
  <c r="G16" i="113"/>
  <c r="G15" i="113"/>
  <c r="G25" i="113"/>
  <c r="G17" i="113"/>
  <c r="G21" i="113"/>
  <c r="G20" i="113"/>
  <c r="G19" i="113"/>
  <c r="G14" i="113"/>
  <c r="G26" i="113"/>
  <c r="G18" i="113"/>
  <c r="G24" i="113"/>
  <c r="G23" i="113"/>
  <c r="E186" i="113" l="1"/>
  <c r="G165" i="113"/>
  <c r="G164" i="113"/>
  <c r="G140" i="113"/>
  <c r="G146" i="113" s="1"/>
  <c r="G114" i="113"/>
  <c r="G113" i="113"/>
  <c r="G111" i="113"/>
  <c r="G91" i="113"/>
  <c r="G87" i="113"/>
  <c r="G84" i="113"/>
  <c r="G83" i="113"/>
  <c r="G82" i="113"/>
  <c r="G81" i="113"/>
  <c r="G80" i="113"/>
  <c r="F74" i="113"/>
  <c r="A26" i="113"/>
  <c r="S15" i="22" s="1"/>
  <c r="G13" i="113"/>
  <c r="G12" i="113"/>
  <c r="G11" i="113"/>
  <c r="G10" i="113"/>
  <c r="G27" i="113" s="1"/>
  <c r="G6" i="113"/>
  <c r="F6" i="113"/>
  <c r="G102" i="102"/>
  <c r="G94" i="102"/>
  <c r="G93" i="102"/>
  <c r="D120" i="102"/>
  <c r="D110" i="102"/>
  <c r="H8" i="102"/>
  <c r="G147" i="113" l="1"/>
  <c r="G148" i="113"/>
  <c r="G141" i="113"/>
  <c r="G142" i="113"/>
  <c r="G143" i="113"/>
  <c r="G144" i="113"/>
  <c r="G145" i="113"/>
  <c r="D92" i="102"/>
  <c r="G122" i="102"/>
  <c r="G51" i="102"/>
  <c r="G121" i="102"/>
  <c r="G120" i="102"/>
  <c r="G137" i="102"/>
  <c r="D137" i="102"/>
  <c r="H45" i="102"/>
  <c r="H44" i="102"/>
  <c r="D95" i="102"/>
  <c r="H55" i="102"/>
  <c r="C56" i="102"/>
  <c r="H99" i="102" l="1"/>
  <c r="H95" i="102"/>
  <c r="H92" i="102"/>
  <c r="H100" i="102"/>
  <c r="H97" i="102"/>
  <c r="H94" i="102"/>
  <c r="H93" i="102"/>
  <c r="H96" i="102"/>
  <c r="H98" i="102"/>
  <c r="G110" i="102"/>
  <c r="G114" i="102"/>
  <c r="G113" i="102"/>
  <c r="G112" i="102"/>
  <c r="G111" i="102"/>
  <c r="G68" i="102"/>
  <c r="G67" i="102"/>
  <c r="G66" i="102"/>
  <c r="G65" i="102"/>
  <c r="G64" i="102"/>
  <c r="G63" i="102"/>
  <c r="G62" i="102"/>
  <c r="G61" i="102"/>
  <c r="G60" i="102"/>
  <c r="G58" i="102"/>
  <c r="G84" i="102" l="1"/>
  <c r="G14" i="102" l="1"/>
  <c r="H40" i="102"/>
  <c r="H39" i="102"/>
  <c r="H57" i="102"/>
  <c r="H38" i="102"/>
  <c r="G50" i="102"/>
  <c r="H48" i="102"/>
  <c r="G20" i="102"/>
  <c r="I115" i="102" l="1"/>
  <c r="G143" i="102"/>
  <c r="G142" i="102"/>
  <c r="D143" i="102"/>
  <c r="D142" i="102"/>
  <c r="B120" i="102"/>
  <c r="D108" i="102"/>
  <c r="D82" i="102"/>
  <c r="D51" i="102"/>
  <c r="D93" i="102" l="1"/>
  <c r="D55" i="102" l="1"/>
  <c r="G55" i="102" l="1"/>
  <c r="D59" i="102" l="1"/>
  <c r="G18" i="102"/>
  <c r="D61" i="102"/>
  <c r="D62" i="102"/>
  <c r="D63" i="102"/>
  <c r="D64" i="102"/>
  <c r="D65" i="102"/>
  <c r="D66" i="102"/>
  <c r="D67" i="102"/>
  <c r="D68" i="102"/>
  <c r="D52" i="102"/>
  <c r="D53" i="102"/>
  <c r="D57" i="102"/>
  <c r="D58" i="102"/>
  <c r="D60" i="102"/>
  <c r="G27" i="102"/>
  <c r="D27" i="102" s="1"/>
  <c r="G124" i="102"/>
  <c r="D124" i="102"/>
  <c r="J116" i="102" l="1"/>
  <c r="I117" i="102" s="1"/>
  <c r="G96" i="102"/>
  <c r="G99" i="102"/>
  <c r="D117" i="102" l="1"/>
  <c r="I118" i="102"/>
  <c r="D119" i="102" s="1"/>
  <c r="G116" i="102"/>
  <c r="D116" i="102" s="1"/>
  <c r="G108" i="102"/>
  <c r="G107" i="102"/>
  <c r="G106" i="102"/>
  <c r="G101" i="102"/>
  <c r="G98" i="102"/>
  <c r="G95" i="102"/>
  <c r="G92" i="102"/>
  <c r="G88" i="102"/>
  <c r="G82" i="102"/>
  <c r="G80" i="102"/>
  <c r="G57" i="102"/>
  <c r="G53" i="102"/>
  <c r="G52" i="102"/>
  <c r="G41" i="102"/>
  <c r="G40" i="102"/>
  <c r="G39" i="102"/>
  <c r="G38" i="102"/>
  <c r="G36" i="102"/>
  <c r="G35" i="102"/>
  <c r="G34" i="102"/>
  <c r="G33" i="102"/>
  <c r="G31" i="102"/>
  <c r="G59" i="102"/>
  <c r="D118" i="102" l="1"/>
  <c r="H21" i="102" l="1"/>
  <c r="H60" i="102" l="1"/>
  <c r="D19" i="92" l="1"/>
  <c r="D30" i="92"/>
  <c r="D26" i="92"/>
  <c r="D24" i="92"/>
  <c r="D23" i="92"/>
  <c r="D22" i="92"/>
  <c r="D21" i="92"/>
  <c r="D14" i="92"/>
  <c r="D10" i="92"/>
  <c r="D20" i="102"/>
  <c r="D88" i="102" l="1"/>
  <c r="D80" i="102"/>
  <c r="D41" i="102"/>
  <c r="D40" i="102"/>
  <c r="D39" i="102"/>
  <c r="D38" i="102"/>
  <c r="D36" i="102"/>
  <c r="D35" i="102"/>
  <c r="D34" i="102"/>
  <c r="D33" i="102"/>
  <c r="D31" i="102"/>
  <c r="D18" i="102"/>
  <c r="D14" i="102"/>
  <c r="G21" i="102"/>
  <c r="B137" i="102" l="1"/>
  <c r="B80" i="102"/>
  <c r="B42" i="92" l="1"/>
  <c r="B41" i="92"/>
  <c r="Z15" i="22" l="1"/>
  <c r="S16" i="22" l="1"/>
  <c r="A5" i="97" l="1"/>
  <c r="S17" i="22" l="1"/>
  <c r="A5" i="99"/>
  <c r="G10" i="67" l="1"/>
  <c r="A46" i="99"/>
  <c r="B46" i="99"/>
  <c r="G28" i="67" l="1"/>
  <c r="B66" i="48"/>
  <c r="B7" i="54" l="1"/>
</calcChain>
</file>

<file path=xl/sharedStrings.xml><?xml version="1.0" encoding="utf-8"?>
<sst xmlns="http://schemas.openxmlformats.org/spreadsheetml/2006/main" count="2248" uniqueCount="1284">
  <si>
    <t>Concrete Batch Plant Standard Permit Registration Application</t>
  </si>
  <si>
    <t>PI-1S-CBP</t>
  </si>
  <si>
    <t>Air Permits Division</t>
  </si>
  <si>
    <t>Texas Commission on Environmental Quality</t>
  </si>
  <si>
    <t>Form 20871, Version 6.0</t>
  </si>
  <si>
    <t xml:space="preserve">Under Texas Government Code 559.003(a), individuals are entitled to receive and review any information collected by TCEQ about the individual by means of a form that is completed and filed with TCEQ in a paper or electronic format on the TCEQ website consistent with Texas Government Code sec., 559.003(b). THSC §382.041 restricts whether confidential information can be disclosed by the commission. The individual is also entitled to have TCEQ correct information about the individual that is incorrect.
</t>
  </si>
  <si>
    <t>If you have questions on how to fill out this form or about the Air Permits Division, please contact us at 512-239-1250.</t>
  </si>
  <si>
    <t>6004 - Concrete Batch Plants</t>
  </si>
  <si>
    <t>6008 - Concrete Batch Plants with Enhanced Controls</t>
  </si>
  <si>
    <t>Initial</t>
  </si>
  <si>
    <t>Change of representations</t>
  </si>
  <si>
    <t xml:space="preserve">Initial (move to a new location) </t>
  </si>
  <si>
    <t>Renewal</t>
  </si>
  <si>
    <t>5. Follow the guide on the "Copies" guidance sheet for where to submit the application materials.
6. Updates may be required throughout the review process. Updated workbooks must be submitted electronically. Be sure to
 change the headers accordingly.</t>
  </si>
  <si>
    <r>
      <rPr>
        <b/>
        <sz val="11"/>
        <color rgb="FF000000"/>
        <rFont val="Arial"/>
        <family val="2"/>
      </rPr>
      <t>Renewal Projects</t>
    </r>
    <r>
      <rPr>
        <sz val="11"/>
        <color rgb="FF000000"/>
        <rFont val="Arial"/>
        <family val="2"/>
      </rPr>
      <t>: Send the application to the TCEQ at least six months but no earlier than 18 months prior to permit expiration.</t>
    </r>
  </si>
  <si>
    <t>https://ftps.tceq.texas.gov/help/</t>
  </si>
  <si>
    <t>Links:</t>
  </si>
  <si>
    <t>STEERS</t>
  </si>
  <si>
    <t>De Minimis Facilities, 30 TAC § 116.119</t>
  </si>
  <si>
    <t>Concrete Batch Plant Standard Permit Guidance</t>
  </si>
  <si>
    <t>Concrete Batch Plant Standard Permit</t>
  </si>
  <si>
    <t>Concrete Batch Plant with Enhanced Controls Standard Permit Guidance</t>
  </si>
  <si>
    <t>Concrete Batch Plant with Enhanced Controls Standard Permit</t>
  </si>
  <si>
    <r>
      <t xml:space="preserve">Table of Contents: </t>
    </r>
    <r>
      <rPr>
        <i/>
        <sz val="12"/>
        <color rgb="FF000000"/>
        <rFont val="Arial"/>
        <family val="2"/>
      </rPr>
      <t>Click to jump to that worksheet tab.</t>
    </r>
  </si>
  <si>
    <t>PI-1S Registrations for Air Standard Permit - Concrete Batch Plants</t>
  </si>
  <si>
    <t>6004Checklist</t>
  </si>
  <si>
    <t>Concrete Batch Plant Standard Permit Checklist - 6004</t>
  </si>
  <si>
    <t>6008Checklist</t>
  </si>
  <si>
    <t>Concrete Batch Plant with Enhanced Controls Standard Permit Checklist - 6008</t>
  </si>
  <si>
    <t>Table20-CBP</t>
  </si>
  <si>
    <t>Table 20: Concrete Batch Plants - Concrete Batch Plants Standard Permit</t>
  </si>
  <si>
    <t>Table11-CBP</t>
  </si>
  <si>
    <t>Table 11: Fabric Filters - Concrete Batch Plants</t>
  </si>
  <si>
    <t>Table29-CBP</t>
  </si>
  <si>
    <t>Table 29: Reciprocating Engines - Concrete Batch Plants</t>
  </si>
  <si>
    <t>Public Notice</t>
  </si>
  <si>
    <t>Public Notice Information and Small Business Classification</t>
  </si>
  <si>
    <t>Fees</t>
  </si>
  <si>
    <t>Fee Verification</t>
  </si>
  <si>
    <t>Copies</t>
  </si>
  <si>
    <t>Where to Submit this Application</t>
  </si>
  <si>
    <t>6004Requirements</t>
  </si>
  <si>
    <t>Amendments to the Air Quality Standard Permit for Concrete Batch Plants</t>
  </si>
  <si>
    <t>6008Requirements</t>
  </si>
  <si>
    <t>Air Quality Standard Permit for Concrete Batch Plants with Enhanced Controls</t>
  </si>
  <si>
    <t>Click here to go to the PI-1S-CBP sheet.</t>
  </si>
  <si>
    <t>Applicant Internal Comments</t>
  </si>
  <si>
    <t>conditional formatting notes</t>
  </si>
  <si>
    <t>CF Red</t>
  </si>
  <si>
    <t>CF Grey</t>
  </si>
  <si>
    <t>CF Warn</t>
  </si>
  <si>
    <t>Formula</t>
  </si>
  <si>
    <t>Click here to go back to the Cover sheet.</t>
  </si>
  <si>
    <t>All comments must be deleted prior to application submittal.</t>
  </si>
  <si>
    <t>I. Applicant Information</t>
  </si>
  <si>
    <t>Whole Sheet:</t>
  </si>
  <si>
    <t>I acknowledge that I am submitting an authorized TCEQ application workbook and any necessary attachments. Except for inputting the requested data and adjusting row height and column width, I have not changed the TCEQ application workbook in any way, including but not limited to changing formulas, formatting, content, or protections.</t>
  </si>
  <si>
    <t>red if I disagree, and rest of sheet grey</t>
  </si>
  <si>
    <r>
      <t xml:space="preserve">A. Registration and Action Type </t>
    </r>
    <r>
      <rPr>
        <b/>
        <sz val="11"/>
        <color theme="5"/>
        <rFont val="Arial"/>
        <family val="2"/>
      </rPr>
      <t>(only one permit and action may be selected with each form)</t>
    </r>
  </si>
  <si>
    <t>Individual Rules:</t>
  </si>
  <si>
    <r>
      <t>Select the type of action requested using the dropdown. Options include Initial, Change of Representation, Initial (move to a new location), and Renewal.</t>
    </r>
    <r>
      <rPr>
        <b/>
        <sz val="11"/>
        <color theme="1"/>
        <rFont val="Arial"/>
        <family val="2"/>
      </rPr>
      <t xml:space="preserve">
</t>
    </r>
    <r>
      <rPr>
        <sz val="11"/>
        <color theme="1"/>
        <rFont val="Arial"/>
        <family val="2"/>
      </rPr>
      <t xml:space="preserve">Provide the assigned registration number and expiration date if they have been assigned.
</t>
    </r>
    <r>
      <rPr>
        <b/>
        <sz val="11"/>
        <color rgb="FFC00000"/>
        <rFont val="Arial"/>
        <family val="2"/>
      </rPr>
      <t>All cells must be completed for change of representations.</t>
    </r>
  </si>
  <si>
    <t>Standard Permit and Description</t>
  </si>
  <si>
    <t>Action Type Requested</t>
  </si>
  <si>
    <t>expiration date grey if initial project type</t>
  </si>
  <si>
    <t>grey if 6008 project type selected, expiration date red if after today</t>
  </si>
  <si>
    <t>grey if 6004 project type selected, expiration date red if after today</t>
  </si>
  <si>
    <t>Registration Number</t>
  </si>
  <si>
    <t>Expiration Date</t>
  </si>
  <si>
    <r>
      <t xml:space="preserve">B. Change of Representation </t>
    </r>
    <r>
      <rPr>
        <b/>
        <sz val="11"/>
        <color rgb="FFC00000"/>
        <rFont val="Arial"/>
        <family val="2"/>
      </rPr>
      <t>(do not leave blank)</t>
    </r>
  </si>
  <si>
    <t>grey if change of representations action type not selected above</t>
  </si>
  <si>
    <t>Requested Information</t>
  </si>
  <si>
    <t>Response</t>
  </si>
  <si>
    <t>Are you requesting to add a new facility not previously represented?</t>
  </si>
  <si>
    <t>Are you requesting to change the method of control of emissions for an already authorized piece of equipment?</t>
  </si>
  <si>
    <t>Are you requesting to change the character of the emissions or a new pollutant?</t>
  </si>
  <si>
    <t>Are you requesting to increase the discharge of a pollutant already authorized?</t>
  </si>
  <si>
    <t>Are you requesting to replace equipment that was previously represented?</t>
  </si>
  <si>
    <t>Are you requesting to increase the operating hours?</t>
  </si>
  <si>
    <t>Are you requesting to increase the production rate?</t>
  </si>
  <si>
    <t>Are you requesting to decrease the operating hours?</t>
  </si>
  <si>
    <t>Are you requesting to decrease the production rate?</t>
  </si>
  <si>
    <t>Are you requesting to move authorized equipment to different areas of the plant?</t>
  </si>
  <si>
    <t>Is a registered portable facility moving to a site for support of a public works project in which the proposed site is located in or contiguous to the right-of-way of the public works project? (Section 10(A)(i)-(ii) of Standard Permit 6004)</t>
  </si>
  <si>
    <t>grey if this is yes, rest of sheet (except instruction in row 9) greys out</t>
  </si>
  <si>
    <t>Is a registered portable facility moving to a site in which a portable facility was located at the site at any time during the previous two years and was the site subject to public notice? (Section 10(A)(i)-(ii) of Standard Permit 6004)</t>
  </si>
  <si>
    <t>If at least one of the Section (10)(A) conditions are met, forward the required information to the appropriate regional office for final decision using Form TCEQ-20122. An application (this workbook) is not required for the TCEQ Air Permits Division. Note, prior written approval from the regional office is required prior to start of construction. (Section (10) (B) of Standard Permit 6004). Refer to Section 10 on 6004Checklist Sheet of this workbook.</t>
  </si>
  <si>
    <t>grey if row 7 and row 8 are no</t>
  </si>
  <si>
    <t>B. Company Information</t>
  </si>
  <si>
    <t>Company or Legal Name:</t>
  </si>
  <si>
    <t>Registrations are issued to either the facility owner or operator, commonly referred to as the applicant or registration holder. List the legal name of the company, corporation, partnership, or person who is applying for the registration. We will verify the legal name with the Texas Secretary of State at (512) 463-5555 or at the link below:</t>
  </si>
  <si>
    <t>https://www.sos.state.tx.us</t>
  </si>
  <si>
    <t>Texas Secretary of State Charter/Registration Number (if given):</t>
  </si>
  <si>
    <r>
      <t xml:space="preserve">C. Company Official Contact Information: </t>
    </r>
    <r>
      <rPr>
        <sz val="11"/>
        <color theme="1"/>
        <rFont val="Arial"/>
        <family val="2"/>
      </rPr>
      <t>must not be a consultant</t>
    </r>
  </si>
  <si>
    <t>Prefix (Mr., Ms., Dr., etc.):</t>
  </si>
  <si>
    <t>First Name:</t>
  </si>
  <si>
    <t>Last Name:</t>
  </si>
  <si>
    <t>Title:</t>
  </si>
  <si>
    <t>Mailing Address:</t>
  </si>
  <si>
    <t>Address Line 2:</t>
  </si>
  <si>
    <t>City:</t>
  </si>
  <si>
    <t>State:</t>
  </si>
  <si>
    <t>ZIP Code:</t>
  </si>
  <si>
    <t>Telephone Number:</t>
  </si>
  <si>
    <t>Fax Number:</t>
  </si>
  <si>
    <t>Email Address:</t>
  </si>
  <si>
    <t>Note: All correspondence and issued permit documents will be sent via e-mail within one business day of TCEQ’s decision. Ensure that the e-mail address provided for the company official is the most appropriate to receive time-sensitive correspondence from the TCEQ.</t>
  </si>
  <si>
    <r>
      <t xml:space="preserve">D. Technical Contact Information: </t>
    </r>
    <r>
      <rPr>
        <sz val="11"/>
        <color theme="1"/>
        <rFont val="Arial"/>
        <family val="2"/>
      </rPr>
      <t>This person must have the authority to make binding agreements and representations on behalf of the applicant and may be a consultant.</t>
    </r>
    <r>
      <rPr>
        <b/>
        <sz val="11"/>
        <color theme="1"/>
        <rFont val="Arial"/>
        <family val="2"/>
      </rPr>
      <t xml:space="preserve"> Additional technical contact(s) can be provided in a cover letter.</t>
    </r>
  </si>
  <si>
    <t xml:space="preserve">E. Assigned Numbers </t>
  </si>
  <si>
    <t>The CN and RN below are assigned when a Core Data Form is initially submitted to the Central Registry. The RN is also assigned if the agency has conducted an investigation or if the agency has issued an enforcement action. If these numbers have not yet been assigned, leave these questions blank and include a Core Data Form with your application submittal. See Section VI.B. below for additional information.</t>
  </si>
  <si>
    <t>Enter the CN. The CN is a unique number given to each business, governmental body, association, individual, or other entity that owns, operates, is responsible for, or is affiliated with a regulated entity.</t>
  </si>
  <si>
    <t>Enter the RN. The RN is a unique agency assigned number given to each person, organization, place, or thing that is of environmental interest to us and where regulated activities will occur. The RN replaces existing air account numbers. The RN for portable units is assigned to the unit itself, and that same RN should be used when applying for authorization at a different location.</t>
  </si>
  <si>
    <t>II. Delinquent Fees and Penalties</t>
  </si>
  <si>
    <t>Does the applicant have unpaid delinquent fees and/or penalties owed to the TCEQ?
This form will not be processed until all delinquent fees and/or penalties owed to the TCEQ or the Office of the Attorney General on behalf of the TCEQ are paid in accordance with the Delinquent Fee and Penalty Protocol. For more information regarding Delinquent Fees and Penalties, go to the TCEQ website at the link below:</t>
  </si>
  <si>
    <t>red if yes</t>
  </si>
  <si>
    <t>https://www.tceq.texas.gov/agency/financial/fees/delin</t>
  </si>
  <si>
    <t>III. Registration Information</t>
  </si>
  <si>
    <t>A. Other Facilities at this Site Authorized by Standard Exemption, PBR, or Standard Permit</t>
  </si>
  <si>
    <t>Are there any other facilities at this site that are authorized by Exemption, PBR, or Standard Permit?</t>
  </si>
  <si>
    <t>If “YES,” enter the standard exemption number(s), PBR registration number(s), and Standard Permit registration number(s), and associated effective date(s).</t>
  </si>
  <si>
    <t>this table grey if no to 59 - are there any other facilities at site under SE, PBR, SP</t>
  </si>
  <si>
    <t>Registration Numbers</t>
  </si>
  <si>
    <t>Effective Date</t>
  </si>
  <si>
    <t>B. Other Air Preconstruction Permits</t>
  </si>
  <si>
    <t>Are there any other air preconstruction permits at this site?</t>
  </si>
  <si>
    <t>If “YES,” list the permit numbers.</t>
  </si>
  <si>
    <t>grey if no on row 66 - are there any other air permits</t>
  </si>
  <si>
    <t>C. Associated Federal Operating Permits</t>
  </si>
  <si>
    <r>
      <t xml:space="preserve">Is this facility located at a site required to obtain a </t>
    </r>
    <r>
      <rPr>
        <b/>
        <sz val="11"/>
        <color theme="1"/>
        <rFont val="Arial"/>
        <family val="2"/>
      </rPr>
      <t>site operating permit (SOP)</t>
    </r>
    <r>
      <rPr>
        <sz val="11"/>
        <color theme="1"/>
        <rFont val="Arial"/>
        <family val="2"/>
      </rPr>
      <t xml:space="preserve"> or </t>
    </r>
    <r>
      <rPr>
        <b/>
        <sz val="11"/>
        <color theme="1"/>
        <rFont val="Arial"/>
        <family val="2"/>
      </rPr>
      <t>general operating permit (GOP)?</t>
    </r>
  </si>
  <si>
    <r>
      <t xml:space="preserve">Is a </t>
    </r>
    <r>
      <rPr>
        <b/>
        <sz val="11"/>
        <color theme="1"/>
        <rFont val="Arial"/>
        <family val="2"/>
      </rPr>
      <t>SOP</t>
    </r>
    <r>
      <rPr>
        <sz val="11"/>
        <color theme="1"/>
        <rFont val="Arial"/>
        <family val="2"/>
      </rPr>
      <t xml:space="preserve"> or </t>
    </r>
    <r>
      <rPr>
        <b/>
        <sz val="11"/>
        <color theme="1"/>
        <rFont val="Arial"/>
        <family val="2"/>
      </rPr>
      <t>GOP</t>
    </r>
    <r>
      <rPr>
        <sz val="11"/>
        <color theme="1"/>
        <rFont val="Arial"/>
        <family val="2"/>
      </rPr>
      <t xml:space="preserve"> review pending for this source, area, or site?</t>
    </r>
  </si>
  <si>
    <t>gray if 90=no</t>
  </si>
  <si>
    <r>
      <t xml:space="preserve">If required to obtain a </t>
    </r>
    <r>
      <rPr>
        <b/>
        <sz val="11"/>
        <color theme="1"/>
        <rFont val="Arial"/>
        <family val="2"/>
      </rPr>
      <t>SOP</t>
    </r>
    <r>
      <rPr>
        <sz val="11"/>
        <color theme="1"/>
        <rFont val="Arial"/>
        <family val="2"/>
      </rPr>
      <t xml:space="preserve"> or </t>
    </r>
    <r>
      <rPr>
        <b/>
        <sz val="11"/>
        <color theme="1"/>
        <rFont val="Arial"/>
        <family val="2"/>
      </rPr>
      <t>GOP</t>
    </r>
    <r>
      <rPr>
        <sz val="11"/>
        <color theme="1"/>
        <rFont val="Arial"/>
        <family val="2"/>
      </rPr>
      <t>, list all associated permit number(s). If no associated permit number has been assigned yet, enter "TBD":</t>
    </r>
  </si>
  <si>
    <t>IV. Facility Location and General Information</t>
  </si>
  <si>
    <t>A. Location</t>
  </si>
  <si>
    <t xml:space="preserve">County: Enter the county where the facility is physically located. </t>
  </si>
  <si>
    <t>Bastrop</t>
  </si>
  <si>
    <t>TCEQ Region</t>
  </si>
  <si>
    <t>Street Address:</t>
  </si>
  <si>
    <t>City: If the address is not located in a city, then enter the city or town closest to the facility, even if it is not in the same county as the facility.</t>
  </si>
  <si>
    <t xml:space="preserve">ZIP Code: Include the ZIP Code of the physical facility site, not the ZIP Code of the applicant's mailing address. </t>
  </si>
  <si>
    <t>Site Location Description: If there is no street address, provide written driving directions to the site. Identify the location by distance and direction from well-known landmarks such as major highway intersections.</t>
  </si>
  <si>
    <t>B. General Information</t>
  </si>
  <si>
    <t>Facility Name:</t>
  </si>
  <si>
    <t>Area Name: Must indicate the general type of operation, process, equipment or facility. Include numerical designations, if appropriate. Examples are Sulfuric Acid Plant and No. 5 Steam Boiler. Vague names such as Chemical Plant are not acceptable.</t>
  </si>
  <si>
    <t>Is the facility currently registered as a temporary facility in Texas?</t>
  </si>
  <si>
    <t>Are there any schools located within 3,000 feet of the site boundary?</t>
  </si>
  <si>
    <t>C. Type of Plant</t>
  </si>
  <si>
    <t>grey if enhanced control has a selection</t>
  </si>
  <si>
    <t>Type of plant</t>
  </si>
  <si>
    <t>Note: A temporary plant is limited to 180 consecutive days on site or for the duration required to complete a single project.</t>
  </si>
  <si>
    <t>grey if permanent</t>
  </si>
  <si>
    <t>Length of time at site (days)</t>
  </si>
  <si>
    <t>warn if temporary is selected and length entered is greater than 180, grey if permanent</t>
  </si>
  <si>
    <t>Provide single project name and any identifying project numbers (for example, indicate TXDOT project name)</t>
  </si>
  <si>
    <t>Serial number of the equipment to be authorized, if applicable:</t>
  </si>
  <si>
    <t>D. Industry Type</t>
  </si>
  <si>
    <t>Principal Company Product/Business:</t>
  </si>
  <si>
    <t>Principal SIC code:</t>
  </si>
  <si>
    <t>E. State Senator and Representative for this site</t>
  </si>
  <si>
    <t>This information can be found at the link below (note, the website is not compatible to Internet Explorer):</t>
  </si>
  <si>
    <t>https://wrm.capitol.texas.gov/</t>
  </si>
  <si>
    <t>State Senator:</t>
  </si>
  <si>
    <t>District:</t>
  </si>
  <si>
    <t>State Representative:</t>
  </si>
  <si>
    <r>
      <rPr>
        <b/>
        <sz val="11"/>
        <rFont val="Arial"/>
        <family val="2"/>
      </rPr>
      <t>F.</t>
    </r>
    <r>
      <rPr>
        <b/>
        <sz val="11"/>
        <color theme="1"/>
        <rFont val="Arial"/>
        <family val="2"/>
      </rPr>
      <t xml:space="preserve"> County Judge and Presiding Officer</t>
    </r>
    <r>
      <rPr>
        <sz val="11"/>
        <color theme="1"/>
        <rFont val="Arial"/>
        <family val="2"/>
      </rPr>
      <t xml:space="preserve">
We must notify the applicable county judge and presiding officer when an application for a concrete batch plant is received. This information can be obtained at the link below:</t>
    </r>
  </si>
  <si>
    <t>https://www.txdirectory.com</t>
  </si>
  <si>
    <r>
      <t xml:space="preserve">Provide the information for the </t>
    </r>
    <r>
      <rPr>
        <b/>
        <sz val="11"/>
        <color theme="1"/>
        <rFont val="Arial"/>
        <family val="2"/>
      </rPr>
      <t>County Judge</t>
    </r>
    <r>
      <rPr>
        <sz val="11"/>
        <color theme="1"/>
        <rFont val="Arial"/>
        <family val="2"/>
      </rPr>
      <t xml:space="preserve"> for the location where the facility is or will be located:</t>
    </r>
  </si>
  <si>
    <t>The Honorable:</t>
  </si>
  <si>
    <t>Is the facility located in any municipality or an extraterritorial jurisdiction of any municipality?</t>
  </si>
  <si>
    <t>If so, provide the information for the Presiding Officer(s) of the municipality. This is frequently the Mayor. An attachment may be used for multiple.</t>
  </si>
  <si>
    <t>grey if no to "is the facility located in any municipality…" row 114</t>
  </si>
  <si>
    <t>V. Project Information</t>
  </si>
  <si>
    <t>A. Description</t>
  </si>
  <si>
    <t xml:space="preserve">Provide a brief description of the project that is requested. (Limited to 500 characters). </t>
  </si>
  <si>
    <t>B. Enforcement Projects</t>
  </si>
  <si>
    <t>Is this application in response to, or related to, an agency investigation, notice of violation, or enforcement action?</t>
  </si>
  <si>
    <t>If yes, did you attach copies of any correspondence from the agency and provide the RN associated with the investigation, notice of violation, or enforcement action?</t>
  </si>
  <si>
    <t>VI. Application Materials</t>
  </si>
  <si>
    <t>All representations regarding construction plans and operation procedures contained in the registration application shall be conditions upon which the registration is issued. (30 TAC § 116.615)</t>
  </si>
  <si>
    <t>A. Confidential Application Materials</t>
  </si>
  <si>
    <t>Is confidential information submitted with this application?</t>
  </si>
  <si>
    <r>
      <t>If yes, is each confidential page marked "</t>
    </r>
    <r>
      <rPr>
        <sz val="11"/>
        <color rgb="FFFF0000"/>
        <rFont val="Arial"/>
        <family val="2"/>
      </rPr>
      <t>CONFIDENTIAL</t>
    </r>
    <r>
      <rPr>
        <sz val="11"/>
        <color theme="1"/>
        <rFont val="Arial"/>
        <family val="2"/>
      </rPr>
      <t>" in large red letters?</t>
    </r>
  </si>
  <si>
    <t xml:space="preserve">THSC §382.041 restricts whether confidential information can be disclosed by the commission. Mark any information related to secret or proprietary processes or methods of manufacture as confidential if you do not want this information in the public file. All confidential information should be separated from the application and submitted as a separate file. Additional information regarding confidential information can be found at the link below:
</t>
  </si>
  <si>
    <t>https://www.tceq.texas.gov/permitting/air/confidential.html</t>
  </si>
  <si>
    <t>B. Is the Core Data Form (Form 10400) attached?</t>
  </si>
  <si>
    <t>grey if not an initial</t>
  </si>
  <si>
    <t>https://www.tceq.texas.gov/permitting/central_registry/guidance.html</t>
  </si>
  <si>
    <t>C. Is a current area map attached?</t>
  </si>
  <si>
    <t>Is the area map a current map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</si>
  <si>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</si>
  <si>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D. Is a plot plan attached?</t>
  </si>
  <si>
    <t>Does your plot plan clearly show a north arrow, an accurate scale, all property lines, all emission points, buildings, tanks, process vessels, other process equipment, and two bench mark locations?</t>
  </si>
  <si>
    <t>Does your plot plan identify all emission points on the affected property, including all emission points authorized by other air authorizations, construction permits, PBRs, special permits, and standard permits?</t>
  </si>
  <si>
    <t>Did you include a table of emission points indicating the authorization type and authorization identifier, such as a permit number, registration number, or rule citation under which each emission point is currently authorized?</t>
  </si>
  <si>
    <t>Does your plot plan clearly mark all distances to other property or structures to demonstrate compliance with all distance, setback, and buffer requirements?</t>
  </si>
  <si>
    <t>E. Is a process flow diagram attached?</t>
  </si>
  <si>
    <t>Is the process flow diagram sufficiently descriptive so the permit reviewer can determine the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t>
  </si>
  <si>
    <t>F. Is a process description attached?</t>
  </si>
  <si>
    <t>Does the process description emphasize where the emissions are generated, why the emissions must be generated, what air pollution controls are used (including process design features that minimize emissions), and where the emissions enter the atmosphere?</t>
  </si>
  <si>
    <t>Does the process description also explain how the facility or facilities will be operating when the maximum possible emissions are produced?</t>
  </si>
  <si>
    <t>G. Are details for each different filter system attached?</t>
  </si>
  <si>
    <t>Is there a description of the principle operation for each different filter system?</t>
  </si>
  <si>
    <t>Is there an assembly drawing (front and top view) of the abatement device drawn to scale clearly showing the design, size, and shape?</t>
  </si>
  <si>
    <t>H. Is a Public Involvement Plan (PIP) form required for this project? Requirements can be found at the link below:</t>
  </si>
  <si>
    <t xml:space="preserve">Is the PIP Form (TCEQ Form 20960) attached? </t>
  </si>
  <si>
    <t>Requirements can be found at the following link:</t>
  </si>
  <si>
    <t>Air Permitting - Texas Commission on Environmental Quality - www.tceq.texas.gov</t>
  </si>
  <si>
    <t>Click here to go to the 6004 Checklist sheet.</t>
  </si>
  <si>
    <t>Conditional Formatting Notes</t>
  </si>
  <si>
    <t>logic 1</t>
  </si>
  <si>
    <t>logic 2</t>
  </si>
  <si>
    <t>Click here to go back to the PI-1S-CBP sheet.</t>
  </si>
  <si>
    <r>
      <t xml:space="preserve">This sheet provides information needed by the TCEQ to determine if the proposed project meets all of the requirements of the Standard Permit for Concrete Batch Plants.
</t>
    </r>
    <r>
      <rPr>
        <b/>
        <sz val="11"/>
        <color rgb="FF000000"/>
        <rFont val="Arial"/>
        <family val="2"/>
      </rPr>
      <t xml:space="preserve">Instructions:
</t>
    </r>
    <r>
      <rPr>
        <sz val="11"/>
        <color rgb="FF000000"/>
        <rFont val="Arial"/>
        <family val="2"/>
      </rPr>
      <t>1. Review the standard permit requirements available at the end of this workbook, accessible through with the link below:</t>
    </r>
  </si>
  <si>
    <t>Whole sheet grey if enhanced control SP selected on PI-1S</t>
  </si>
  <si>
    <t>Air Quality Standard Permit for Concrete Batch Plants</t>
  </si>
  <si>
    <t>red if I disagree or for no (for most items)</t>
  </si>
  <si>
    <t>2. Complete all applicable sections below.</t>
  </si>
  <si>
    <t>Type of operation</t>
  </si>
  <si>
    <t>Will the owner or operator of truck mix plant(s) shelter the truck loading operation with a three-sided solid enclosure or equivalent that extends from the ground level to three feet above the truck-receiving funnel?</t>
  </si>
  <si>
    <t>Will any engine be on-site for greater than 12 consecutive months?</t>
  </si>
  <si>
    <t>Yes</t>
  </si>
  <si>
    <t>Are multiple concrete batch plants being operated on the same site?</t>
  </si>
  <si>
    <t>Section 3: Administrative Requirements</t>
  </si>
  <si>
    <t>Condition Number</t>
  </si>
  <si>
    <t>Description</t>
  </si>
  <si>
    <t>Notes</t>
  </si>
  <si>
    <t>(3)(A)-(K)</t>
  </si>
  <si>
    <t>Will you meet the requirements of Section 3 of the Standard Permit regarding administrative, record-keeping and MSS requirements?</t>
  </si>
  <si>
    <t>Section 4: Public Notice</t>
  </si>
  <si>
    <t>general check</t>
  </si>
  <si>
    <t>(4)</t>
  </si>
  <si>
    <t>Will you meet all of the requirements of Section 4 of the Standard Permit regarding public notice?</t>
  </si>
  <si>
    <t>Is this a portable facility moving to a site for support of a public works project in which the proposed site is located in or contiguous to the right-of-way of the public works project?</t>
  </si>
  <si>
    <t>N/A</t>
  </si>
  <si>
    <t>Does the attached map indicate where the public works right of way is located and the location of the proposed plant?</t>
  </si>
  <si>
    <t>grey if not temporary, also grey if answer to the public works questions above is no</t>
  </si>
  <si>
    <t>Single project name and any identifying project numbers (for example, indicate TXDOT project name)</t>
  </si>
  <si>
    <t>Is this a registered portable facility moving to a site in which a portable facility was located at the site at any time during the previous two years and was the site subject to public notice?</t>
  </si>
  <si>
    <t>Section 5: General Requirements</t>
  </si>
  <si>
    <t>(5)(A)</t>
  </si>
  <si>
    <t>Are the storage silos and auxiliary storage tanks controlled by a cartridge or filter system?</t>
  </si>
  <si>
    <t>How will the weigh hopper be vented? More than one may be selected using the following rows.</t>
  </si>
  <si>
    <t>Select second method, if applicable.</t>
  </si>
  <si>
    <t>Select third method, if applicable.</t>
  </si>
  <si>
    <t>(5)(B)(i)</t>
  </si>
  <si>
    <t>Will fabric/cartridge filters and collection systems be operated properly with no tears or leaks?</t>
  </si>
  <si>
    <t>(5)(B)(ii)</t>
  </si>
  <si>
    <t>What is the control efficiency of the filter system (including any central filter systems) for particle sizes of 2.5 microns and smaller (%)?</t>
  </si>
  <si>
    <t>(5)(B)(iii)</t>
  </si>
  <si>
    <t>Will all filter systems meet visible emissions performance standards?</t>
  </si>
  <si>
    <t>(5)(B)(iv)</t>
  </si>
  <si>
    <t>Will cement and/or fly ash silo filter exhausts be equipped with sufficient illumination to observe visible emissions performance if filled during non-daylight hours?</t>
  </si>
  <si>
    <t>(5)(C)(i)</t>
  </si>
  <si>
    <t>Will conveying systems to and from the storage silos be properly operated, remain totally enclosed, and maintained with no tears or leaks?</t>
  </si>
  <si>
    <t>(5)(C)(ii)</t>
  </si>
  <si>
    <t>During cement/fly ash storage silo filling, except for connecting or disconnecting, will you keep a standard of having no visible emissions for more than 30 seconds in any six-minute period from the conveying system?</t>
  </si>
  <si>
    <t>(5)(D)</t>
  </si>
  <si>
    <t>What type of device is utilized onsite to warn when silos are reaching capacity?</t>
  </si>
  <si>
    <t>(5)(D)(i)</t>
  </si>
  <si>
    <t>If an automatic shut-off device is installed, will it shut down the loading operations on each bulk storage silo or auxiliary storage tank prior to reaching capacity?</t>
  </si>
  <si>
    <t>grey if using a warning device for 5D</t>
  </si>
  <si>
    <t>(5)(D)(ii)</t>
  </si>
  <si>
    <t>If a warning device is used, will it alert operators in sufficient time to prevent an adverse impact on the pollution abatement equipment or other parts of the loading operation?</t>
  </si>
  <si>
    <t>grey if using an automatic shut-off device for 5D</t>
  </si>
  <si>
    <t>Do you regularly prevent particle build-up on visible warning devices?</t>
  </si>
  <si>
    <t>(5)(D)(iii)</t>
  </si>
  <si>
    <t>Will warning devices or shut-off systems for silos and auxiliary storage tanks be tested at least monthly during operations and records kept indicating test and repair results in accordance with Section (3)(J) of this standard permit?</t>
  </si>
  <si>
    <t>(5)(E)(i)-(iv)</t>
  </si>
  <si>
    <t>Select which method(s) will be used to control emissions from in-plant roads and traffic areas. More than one may be selected using the following rows.</t>
  </si>
  <si>
    <t>Select the second control method, if applicable.</t>
  </si>
  <si>
    <t>Select the third control method, if applicable.</t>
  </si>
  <si>
    <t>Select the fourth control method, if applicable.</t>
  </si>
  <si>
    <t>(5)(F)</t>
  </si>
  <si>
    <t>How will dust emissions from all stockpiles be minimized at all times? More than one may be selected using the following rows.</t>
  </si>
  <si>
    <t>Will stockpiles be limited to a total ground surface area of no more than 1.5 acres.</t>
  </si>
  <si>
    <t>(5)(G)</t>
  </si>
  <si>
    <t>Confirm that all material spills will be immediately cleaned up and contained or dampened so dust emissions are minimized.</t>
  </si>
  <si>
    <t>(5)(H)</t>
  </si>
  <si>
    <t>Confirm visible emissions will not leave the property for more than 30 seconds in duration in any six-minute period during normal plant operations as determined using EPA Test Method 22?</t>
  </si>
  <si>
    <t>Will quarterly visible emission observations be performed and recorded in accordance with Section (3)(J) of this standard permit?</t>
  </si>
  <si>
    <t>If visible emissions exceed Test Method 22 criteria, will immediate corrective action be taken and documented?</t>
  </si>
  <si>
    <t>(5)(I)</t>
  </si>
  <si>
    <t>What is the distance from the concrete batch plant to any crushing plant or hot mix asphalt plant? (feet)</t>
  </si>
  <si>
    <t>If less than 550 feet, will the concrete batch plant operate at the same time as the crushing plant or hot mix asphalt plant?</t>
  </si>
  <si>
    <t>grey if entry for 5(I) is greater than or equal to 550</t>
  </si>
  <si>
    <t>(5)(J)</t>
  </si>
  <si>
    <t>Will site production and setback limits be maintained per Section (8) or (9)?</t>
  </si>
  <si>
    <t>grey if c44 (are multiple concrete batch plants being operated on the same site?) is no</t>
  </si>
  <si>
    <t>(5)(K)</t>
  </si>
  <si>
    <t>Confirm that none of the concrete additives will emit volatile organic compounds (VOC).</t>
  </si>
  <si>
    <t>(5)(L)</t>
  </si>
  <si>
    <t>Will all sand and aggregate be washed prior to delivery to the site?</t>
  </si>
  <si>
    <t>(5)(M)(i)-(vii)</t>
  </si>
  <si>
    <t xml:space="preserve">Will all claims under this standard permit comply with the following?: </t>
  </si>
  <si>
    <t>Respond below.</t>
  </si>
  <si>
    <t>(5)(M)</t>
  </si>
  <si>
    <t xml:space="preserve">30 TAC § 116.604, Duration and Renewal of Registrations to Use Standard Permits </t>
  </si>
  <si>
    <t>30 TAC § 116.605(d)(1), Standard Permit Amendment and Revocation</t>
  </si>
  <si>
    <t>30 TAC § 116.614, Standard Permit Fees</t>
  </si>
  <si>
    <t>The public notice processes established in THSC, § 382.055, Review and Renewal of Preconstruction Permit</t>
  </si>
  <si>
    <t>The public notice processes established in THSC, § 382.056</t>
  </si>
  <si>
    <t>The contested case hearing and public notice requirements established in 30 TAC § 55.152(a)(2), Public Comment Period</t>
  </si>
  <si>
    <t>The contested case hearing and public notice requirements established in 30 TAC § 55.201(h)(i)(C), Requests for Reconsideration or Contested Case Hearing</t>
  </si>
  <si>
    <t>(5)(N)</t>
  </si>
  <si>
    <t>Will the owner or operator comply with 30 TAC § 101.4, Nuisance.</t>
  </si>
  <si>
    <t>Section 6: Engine Requirements</t>
  </si>
  <si>
    <t>(6)(A)</t>
  </si>
  <si>
    <t>Are any engines being authorized in this registration?</t>
  </si>
  <si>
    <t>Specific engine data must be provided in Table 29 in this workbook.</t>
  </si>
  <si>
    <t>Is the total horsepower (hp) of the stationary compression ignition internal combustion engine (or combination of engines) in simultaneous operation at the site no more than 1,000 total horsepower (hp)?</t>
  </si>
  <si>
    <t>(6)(B)</t>
  </si>
  <si>
    <t>Applicable engine requirements in 40 CFR 60 Subpart IIII, Standards of Performance for Stationary Compression Ignition Internal Combustion Engines</t>
  </si>
  <si>
    <t>40 CFR 63, Subpart ZZZZ, National Emissions Standards for Hazardous Air Pollutants for Stationary Reciprocating Internal Combustion Engines</t>
  </si>
  <si>
    <t>30 TAC Chapter 117, Control of Air Pollution from Nitrogen Compounds</t>
  </si>
  <si>
    <t xml:space="preserve">Attach supporting documentation if applicable </t>
  </si>
  <si>
    <t>(6)(C)</t>
  </si>
  <si>
    <t>Are the engine exhaust stacks a minimum of eight feet tall?</t>
  </si>
  <si>
    <t>(6)(D)</t>
  </si>
  <si>
    <t>grey if 0 engines</t>
  </si>
  <si>
    <t>(6)(E)</t>
  </si>
  <si>
    <r>
      <rPr>
        <sz val="11"/>
        <color rgb="FF000000"/>
        <rFont val="Arial"/>
        <family val="2"/>
      </rPr>
      <t>Confirm emissions from the engine(s) will not exceed 2.61 grams per horsepower-hour (g/hp-hr) of NO</t>
    </r>
    <r>
      <rPr>
        <vertAlign val="subscript"/>
        <sz val="11"/>
        <color rgb="FF000000"/>
        <rFont val="Arial"/>
        <family val="2"/>
      </rPr>
      <t>X</t>
    </r>
    <r>
      <rPr>
        <sz val="11"/>
        <color rgb="FF000000"/>
        <rFont val="Arial"/>
        <family val="2"/>
      </rPr>
      <t>, per manufacturer’s specifications?</t>
    </r>
  </si>
  <si>
    <t>Will a copy of the manufacturer's specifications be kept at the site?</t>
  </si>
  <si>
    <t>(6)(F)</t>
  </si>
  <si>
    <t>Will the engine(s) be on-site for less than 12 consecutive months?</t>
  </si>
  <si>
    <t xml:space="preserve">If engine(s) are being used for electrical power or equipment operations, then is the site limited to a total of 1,000 hp in simultaneous operation? </t>
  </si>
  <si>
    <t>Section 7: Planned Maintenance, Startup, and Shutdown (MSS) Activities</t>
  </si>
  <si>
    <t>(7)</t>
  </si>
  <si>
    <t>Will planned maintenance activities receive separate authorization, unless the activity can meet the conditions of 30 TAC § 116.119, De Minimis Facilities or Sources?</t>
  </si>
  <si>
    <t>Section 8: Operational Requirements for Permanent and Temporary Concrete Plants</t>
  </si>
  <si>
    <t>grey if permanent or specialty selected on pi-1s</t>
  </si>
  <si>
    <t>8(A)(i)</t>
  </si>
  <si>
    <t>Will the single truck mix plant operate under the requirements in subsection (8)(E) and comply with the production rate and setback distance limits found in Table 1?</t>
  </si>
  <si>
    <t>Previous formulas</t>
  </si>
  <si>
    <r>
      <t>What is the production rate of the single truck mix plant with the shrouded mixer truck-receiving funnel. (yd</t>
    </r>
    <r>
      <rPr>
        <vertAlign val="superscript"/>
        <sz val="11"/>
        <rFont val="Arial"/>
        <family val="2"/>
      </rPr>
      <t>3</t>
    </r>
    <r>
      <rPr>
        <sz val="11"/>
        <rFont val="Arial"/>
        <family val="2"/>
      </rPr>
      <t>/hour)</t>
    </r>
  </si>
  <si>
    <t>What is the setback distance of the single truck mix plant with the shrouded mixer truck-receiving funnel. (ft)</t>
  </si>
  <si>
    <t>8(A)(ii)</t>
  </si>
  <si>
    <t>Will the single truck mix plant operate under the requirements in subsection (8)(E), 8(F), and comply with the production rate and setback distance limits found in Table 2?</t>
  </si>
  <si>
    <r>
      <rPr>
        <sz val="11"/>
        <color rgb="FF000000"/>
        <rFont val="Arial"/>
        <family val="2"/>
      </rPr>
      <t>What is the production rate of the single truck mix plant with the shrouded mixer truck-receiving funnel and enclosure? (yd</t>
    </r>
    <r>
      <rPr>
        <vertAlign val="superscript"/>
        <sz val="11"/>
        <color rgb="FF000000"/>
        <rFont val="Arial"/>
        <family val="2"/>
      </rPr>
      <t>3</t>
    </r>
    <r>
      <rPr>
        <sz val="11"/>
        <color rgb="FF000000"/>
        <rFont val="Arial"/>
        <family val="2"/>
      </rPr>
      <t>/hour)</t>
    </r>
  </si>
  <si>
    <t>What is the setback distance of the single truck mix plant with the shrouded mixer truck-receiving funnel and enclosure? (ft)</t>
  </si>
  <si>
    <t>8(A)(iii)</t>
  </si>
  <si>
    <t>Will the multiple truck mix plants operate under the requirements in subsection 8(E), 8(F), and comply with the production rate and setback distance limits found in Table 3?</t>
  </si>
  <si>
    <t>8(A)(iv)</t>
  </si>
  <si>
    <t>Will the central mix plant operate in compliance with the production rate and setback distance limits found in Table 4?</t>
  </si>
  <si>
    <t>8(B)</t>
  </si>
  <si>
    <t>Is this project for a temporary concrete batch plant approved to operate in or contiguous to the right-of-way of a public works project?</t>
  </si>
  <si>
    <t>8(C)</t>
  </si>
  <si>
    <r>
      <t>Concrete batch plants are limited to a maximum of 650,000 cubic yards per year (yd</t>
    </r>
    <r>
      <rPr>
        <vertAlign val="superscript"/>
        <sz val="11"/>
        <rFont val="Arial"/>
        <family val="2"/>
      </rPr>
      <t>3</t>
    </r>
    <r>
      <rPr>
        <sz val="11"/>
        <rFont val="Arial"/>
        <family val="2"/>
      </rPr>
      <t>/yr) in any rolling 12-month period.</t>
    </r>
  </si>
  <si>
    <t>8(D)</t>
  </si>
  <si>
    <t>What is the minimum filtering velocity of the fabric or cartridge filter system for the suction shroud/central mix drum? (acfm)</t>
  </si>
  <si>
    <t>Minimum of 5,000 actual cubic feet per minute (acfm) of air.</t>
  </si>
  <si>
    <t>8(E)</t>
  </si>
  <si>
    <t>Will the owner or operator shelter the drop point by an intact three-sided enclosure with a flexible shroud hanging from above the truck, or equivalent dust collection technology that extends below the mixer truck-receiving funnel?</t>
  </si>
  <si>
    <t>8(F)</t>
  </si>
  <si>
    <t>Will the owner or operator of truck mix plants shelter the truck loading operation with a three-sided solid enclosure or equivalent that extends from the ground level to three feet above the truck-receiving funnel?</t>
  </si>
  <si>
    <t>8(G)(i)-(iv)</t>
  </si>
  <si>
    <t>Select which method(s) will be used to prevent tracking of sediment onto adjacent roadways and reduce the generation of dust. More than one method may be selected using the following rows.</t>
  </si>
  <si>
    <t>Option: Select primary method, if applicable.</t>
  </si>
  <si>
    <t>Option: Select second method, if applicable.</t>
  </si>
  <si>
    <t>(ii) use of a rumble grate or equivalent* (see rule for requirement details)</t>
  </si>
  <si>
    <t>Option: Select third method, if applicable.</t>
  </si>
  <si>
    <t>(iii) the use of a vacuum truck or equivalent to clean the plant road entrances</t>
  </si>
  <si>
    <t>Option: Select fourth method, if applicable.</t>
  </si>
  <si>
    <t>(i) watering, sweeping, and cleaning the plant road entrances;</t>
  </si>
  <si>
    <t>8(H)</t>
  </si>
  <si>
    <t>Will stationary equipment, stockpiles, and vehicles used for the operation of the concrete batch plant (except for incidental traffic and the entrance and exit to the site) be located no closer than 50 feet less than the applicable minimum setback distance listed in subsection (8)(A) from any property line?</t>
  </si>
  <si>
    <t>What is the distance from the property line to the stationary equipment? (ft)</t>
  </si>
  <si>
    <t>What is the distance from the property line to the stockpiles? (ft)</t>
  </si>
  <si>
    <t>What is the distance from the property line to the vehicles? (ft)</t>
  </si>
  <si>
    <t>8(I)(i)</t>
  </si>
  <si>
    <t>In lieu of meeting the distance requirements for roads of subsection (8)(H) of this standard permit, will the owner or operator construct and maintain in good working order dust suppressing fencing or other equivalent barriers as a border around roads, other traffic areas, and work areas?</t>
  </si>
  <si>
    <t>8(I)(ii)</t>
  </si>
  <si>
    <t>8(J)</t>
  </si>
  <si>
    <t>8(K)</t>
  </si>
  <si>
    <t>For permanent plants, will the owner or operator pave all entry and exit roads and main traffic routes associated with the operation of the concrete batch plant with a cohesive hard surface that will be cleaned and maintained intact?</t>
  </si>
  <si>
    <t>Will all batch trucks and material delivery trucks remain on the paved surface when entering, conducting primary function, and leaving the property?</t>
  </si>
  <si>
    <t>Will the owner or operator maintain other traffic areas using the control requirements of subsection (5)(E) of this standard permit?</t>
  </si>
  <si>
    <t>Section 9: Additional Requirements for Specialty Concrete Batch Plants</t>
  </si>
  <si>
    <t>(9)(A)</t>
  </si>
  <si>
    <r>
      <t>What is the maximum hourly production rate of the site (yd</t>
    </r>
    <r>
      <rPr>
        <vertAlign val="superscript"/>
        <sz val="11"/>
        <color rgb="FF000000"/>
        <rFont val="Arial"/>
        <family val="2"/>
      </rPr>
      <t>3</t>
    </r>
    <r>
      <rPr>
        <sz val="11"/>
        <color rgb="FF000000"/>
        <rFont val="Arial"/>
        <family val="2"/>
      </rPr>
      <t>/hr)?</t>
    </r>
  </si>
  <si>
    <r>
      <t>Maximum annual production rate limit (yd</t>
    </r>
    <r>
      <rPr>
        <vertAlign val="superscript"/>
        <sz val="11"/>
        <color rgb="FF000000"/>
        <rFont val="Arial"/>
        <family val="2"/>
      </rPr>
      <t>3</t>
    </r>
    <r>
      <rPr>
        <sz val="11"/>
        <color rgb="FF000000"/>
        <rFont val="Arial"/>
        <family val="2"/>
      </rPr>
      <t>/yr)</t>
    </r>
  </si>
  <si>
    <t>Minimum setback distance (ft)</t>
  </si>
  <si>
    <t>(9)(B)</t>
  </si>
  <si>
    <t>As an alternative to the requirement in subsection (5)(A) of this standard permit, will the cement/fly ash weigh hopper be vented inside the batch mixer?</t>
  </si>
  <si>
    <t>No</t>
  </si>
  <si>
    <t>(9)(C)(i)-(iii)</t>
  </si>
  <si>
    <t>How will dust emissions at the batch mixer feed or drop point be controlled? More than one may be selected using the following rows.</t>
  </si>
  <si>
    <t>(9)(D)</t>
  </si>
  <si>
    <t>How far from the nearest property line are any vehicles used for the operation of the concrete batch plant (feet)? (Excluding incidental traffic and the entrance and exit of the site.)</t>
  </si>
  <si>
    <t>(9)(E)(i)</t>
  </si>
  <si>
    <t>In lieu of meeting the distance requirements in (9)(A), will the roads and other traffic areas within the buffer distance be bordered by dust suppressing fencing or other barriers along all traffic routes or work areas?</t>
  </si>
  <si>
    <t>(9)(E)(ii)</t>
  </si>
  <si>
    <t>Section 10: Temporary Concrete Plants Relocation Requirements</t>
  </si>
  <si>
    <t>(10)(A)</t>
  </si>
  <si>
    <t>The appropriate TCEQ regional office may approve, without the need of public notice referenced in section (4) of this standard permit, the relocation of a temporary concrete batch plant that has previously been determined by the commission to be in compliance with the technical requirements of the concrete batch plant standard permit version adopted at registration that provides the information listed under section (10)(B) and meets one of the following conditions:</t>
  </si>
  <si>
    <t>(10)(A)(i)</t>
  </si>
  <si>
    <t>Is a registered portable facility and associated equipment moving to a site for support of a public works project in which the proposed site is located in or contiguous to the right-of-way of the public works project?</t>
  </si>
  <si>
    <t>(10)(A)(ii)</t>
  </si>
  <si>
    <t xml:space="preserve">Is a registered portable facility moving to a site in which a portable facility has been located at the site at any time during the previous two years and the site was subject to public notice? </t>
  </si>
  <si>
    <t>(10)(B)(i)-(iv)</t>
  </si>
  <si>
    <t>For relocations meeting subsection (10)(A) of this standard permit, has the owner or operator submit(ed) (the following) to the regional office and any local air pollution control agency having jurisdiction at least 12 business days prior to locating at the site:
-The company name, address, company contact, and telephone number?
-The regulated entity number (RN), customer reference number (CN), applicable permit or registration numbers, and if available, the TCEQ account number?
-The location from which the facility is moving (current location)?
-A location description of the proposed site (city, county, and exact physical location description)?</t>
  </si>
  <si>
    <t>(10)(B)(v)</t>
  </si>
  <si>
    <t>A scaled plot plan that identifies the location of all equipment and stockpiles, and also indicates that the required setback distances to the property lines can be met at the new location?</t>
  </si>
  <si>
    <t>(10)(B)(vi)</t>
  </si>
  <si>
    <t>Representation of maximum hourly and annual site production?</t>
  </si>
  <si>
    <t>(10)(B)(vii)</t>
  </si>
  <si>
    <t>A scaled area map that clearly indicates how the proposed site is contiguous or adjacent to the right-of-way of a public works project (if required)?</t>
  </si>
  <si>
    <t>(10)(B)(viii)</t>
  </si>
  <si>
    <t>The proposed date for start of construction?</t>
  </si>
  <si>
    <t>Day/Month/Year</t>
  </si>
  <si>
    <t>Expected date for start of operation?</t>
  </si>
  <si>
    <t>(10)(B)(ix)</t>
  </si>
  <si>
    <t xml:space="preserve">The expected time period at the proposed site? </t>
  </si>
  <si>
    <t>Include units (days, month, year)</t>
  </si>
  <si>
    <t>(10)(B)(x)</t>
  </si>
  <si>
    <t>The permit or registration number of the portable facility that was located at the proposed site any time during the last two years, and the date the facility was last located there?</t>
  </si>
  <si>
    <t xml:space="preserve">This information is not necessary if the relocation request is for a public works project that is contiguous or adjacent to the right-of-way of a public works project. </t>
  </si>
  <si>
    <t>(10)(B)(xi)</t>
  </si>
  <si>
    <t>Has the proposed site accomplished public notice, as required by 30 TAC Chapter 39?</t>
  </si>
  <si>
    <t>(10)(C)</t>
  </si>
  <si>
    <r>
      <t>Will the owner or operator submit a completed, current</t>
    </r>
    <r>
      <rPr>
        <strike/>
        <sz val="11"/>
        <rFont val="Arial"/>
        <family val="2"/>
      </rPr>
      <t xml:space="preserve"> </t>
    </r>
    <r>
      <rPr>
        <sz val="11"/>
        <rFont val="Arial"/>
        <family val="2"/>
      </rPr>
      <t>TCEQ Regional Notification Standard Permit/PBR Relocation Form when applying to relocate a temporary concrete batch plant?</t>
    </r>
  </si>
  <si>
    <t>Submission of this PI-1S-CBP workbook is not required for these type of relocation projects.</t>
  </si>
  <si>
    <t>Click here to go to the 6008 Checklist sheet.</t>
  </si>
  <si>
    <t>Click here to go back to the 6004 Checklist sheet.</t>
  </si>
  <si>
    <r>
      <t xml:space="preserve">This sheet provides information needed by the TCEQ to determine if the proposed project meets all of the requirements of the Standard Permit for Concrete Batch Plants with Enhanced Controls.
</t>
    </r>
    <r>
      <rPr>
        <b/>
        <sz val="11"/>
        <color rgb="FF000000"/>
        <rFont val="Arial"/>
        <family val="2"/>
      </rPr>
      <t xml:space="preserve">Instructions:
</t>
    </r>
    <r>
      <rPr>
        <sz val="11"/>
        <color rgb="FF000000"/>
        <rFont val="Arial"/>
        <family val="2"/>
      </rPr>
      <t>1. Review the standard permit requirements available at the end of this workbook, accessible through with the link below:
Air Quality Standard Permit for Concrete Batch Plants with Enhanced Controls
2. Complete all applicable sections below.</t>
    </r>
  </si>
  <si>
    <t>Section 1: Administrative Requirements</t>
  </si>
  <si>
    <t>(1)(A)-(E)</t>
  </si>
  <si>
    <t>Will you meet all of the requirements of Section 1 of the Standard Permit regarding administrative requirements?</t>
  </si>
  <si>
    <t>Section 2: Public Notice</t>
  </si>
  <si>
    <t>(2)(A)-(F)</t>
  </si>
  <si>
    <t>Will you meet all of the requirements of Section 2 of the Standard Permit regarding public notice?</t>
  </si>
  <si>
    <t>Section 3: Design and Operating Requirements</t>
  </si>
  <si>
    <t>(3)(A)</t>
  </si>
  <si>
    <t>How will cement/fly ash storage silos and weigh hoppers be vented?</t>
  </si>
  <si>
    <t>(3)(B)(i)</t>
  </si>
  <si>
    <t>Will the fabric/cartridge filter systems and suction shroud be operated properly with no tears or leaks?</t>
  </si>
  <si>
    <t>(3)(B)(ii)</t>
  </si>
  <si>
    <t>What is the outlet rate of the filter systems (gr/dscf), excluding the suction shroud filter system?</t>
  </si>
  <si>
    <t>(3)(B)(iii)</t>
  </si>
  <si>
    <t>Will all filter systems and mixer/truck loading control devices meet visible emissions performance standards?</t>
  </si>
  <si>
    <t>(3)(B)(iv)</t>
  </si>
  <si>
    <t>Will cement and/or fly ash silo filter exhausts be equipped with sufficient illumination to observe visible emissions performance if the silo(s) are filled during non-daylight hours?</t>
  </si>
  <si>
    <t>(3)(C)(i)</t>
  </si>
  <si>
    <t>Will conveying systems to and from the silos be totally enclosed and maintained with no tears or leaks?</t>
  </si>
  <si>
    <t>(3)(C)(ii)</t>
  </si>
  <si>
    <t>During cement/fly ash storage silo(s) filling, except for connecting or disconnecting, will visible emissions exist for more than 30 seconds in any five-minute period from the conveying system?</t>
  </si>
  <si>
    <t>(3)(D)</t>
  </si>
  <si>
    <t>What type of device will be installed to warn when silos are reaching capacity?</t>
  </si>
  <si>
    <t>(3)(E)</t>
  </si>
  <si>
    <t>Will each road, parking lot, or other area at the plant site that is used by vehicles be paved with a cohesive hard surface that will be properly maintained, cleaned, and watered so as to minimize dust emissions?</t>
  </si>
  <si>
    <t>(3)(F)</t>
  </si>
  <si>
    <t>How will emissions from stockpiles be minimized at all times? More than one may be selected using the following rows.</t>
  </si>
  <si>
    <t>(3)(G)</t>
  </si>
  <si>
    <t>Will all material spills be immediately cleaned up and contained or dampened so dust emissions are minimized?</t>
  </si>
  <si>
    <t>(3)(H)</t>
  </si>
  <si>
    <r>
      <t>What is the rate of concrete production on site? (yd</t>
    </r>
    <r>
      <rPr>
        <vertAlign val="superscript"/>
        <sz val="11"/>
        <color rgb="FF000000"/>
        <rFont val="Arial"/>
        <family val="2"/>
      </rPr>
      <t>3</t>
    </r>
    <r>
      <rPr>
        <sz val="11"/>
        <color rgb="FF000000"/>
        <rFont val="Arial"/>
        <family val="2"/>
      </rPr>
      <t>/hr)</t>
    </r>
  </si>
  <si>
    <t>(3)(I)</t>
  </si>
  <si>
    <t>What type of device will be installed at the batch drop point (or drum feed)?</t>
  </si>
  <si>
    <t>What is the average filtering velocity of the fabric or cartridge filter system for the suction shroud or other pickup device (acfm)?</t>
  </si>
  <si>
    <t>(3)(J)</t>
  </si>
  <si>
    <t>What is the control efficiency of the bag filter and capture system? (as a percent)</t>
  </si>
  <si>
    <t>(3)(K)(i)</t>
  </si>
  <si>
    <t>What is the distance from the property line to the suction shroud baghouse exhaust (feet)?</t>
  </si>
  <si>
    <t>(3)(K)(ii)</t>
  </si>
  <si>
    <t>What is the distance from the property line to the nearest stockpile? (feet)</t>
  </si>
  <si>
    <t>What is the distance from the property line to the nearest piece of stationary equipment? (feet)</t>
  </si>
  <si>
    <t>What is the distance from the property line to the nearest area where vehicles will be used for the operation of the concrete batch plant (except for incidental traffic and the entrance and exit to the site)? (feet)</t>
  </si>
  <si>
    <t>(3)(K)(iii)</t>
  </si>
  <si>
    <t>Will the plant be located in an area subject to municipal zoning regulations?</t>
  </si>
  <si>
    <t>If there is no municipal zoning, what is the distance from the central baghouse to the nearest building used as a single or multifamily residence, school, or place of worship at the time your application is received by the commission? (yards)</t>
  </si>
  <si>
    <t>grey if there are municipal zoning regs</t>
  </si>
  <si>
    <t>(3)(L)(i)</t>
  </si>
  <si>
    <t>grey if distance minimums met</t>
  </si>
  <si>
    <t>(3)(L)(ii)</t>
  </si>
  <si>
    <t>Click here to go to the Table20-CBP sheet.</t>
  </si>
  <si>
    <t>Table 20: Concrete Batch Plants - Concrete Batch Plant Standard Permits</t>
  </si>
  <si>
    <t>Click here to go back to the 6008 Checklist sheet.</t>
  </si>
  <si>
    <r>
      <t xml:space="preserve">This sheet provides information needed by the TCEQ to determine if the proposed project meets all of the requirements of the Standard Permit for Concrete Batch Plants.
</t>
    </r>
    <r>
      <rPr>
        <b/>
        <sz val="11"/>
        <color rgb="FF000000"/>
        <rFont val="Arial"/>
        <family val="2"/>
      </rPr>
      <t xml:space="preserve">Instructions:
</t>
    </r>
    <r>
      <rPr>
        <sz val="11"/>
        <color rgb="FF000000"/>
        <rFont val="Arial"/>
        <family val="2"/>
      </rPr>
      <t>1. Complete all applicable questions below.</t>
    </r>
  </si>
  <si>
    <t>Type of batching that will be accomplished</t>
  </si>
  <si>
    <t>Section 1: Maximum operating schedule</t>
  </si>
  <si>
    <t>What is the maximum hours per day?</t>
  </si>
  <si>
    <t>What is the maximum days per week?</t>
  </si>
  <si>
    <t>What is the maximum weeks per year?</t>
  </si>
  <si>
    <t>What is the maximum hours per year?</t>
  </si>
  <si>
    <t>Section 2: Aggregate Information</t>
  </si>
  <si>
    <t>Will sand and aggregate be washed prior to delivery at your site?</t>
  </si>
  <si>
    <t>What is the total ground surface area of aggregate stockpiles? (acres)</t>
  </si>
  <si>
    <t>Indicate where water sprays will be used, if applicable.</t>
  </si>
  <si>
    <t>Additional location for water sprays, if applicable.</t>
  </si>
  <si>
    <t>Section 3: Filter System Information</t>
  </si>
  <si>
    <t>How many filter systems will this plant have?</t>
  </si>
  <si>
    <t>Will all filter systems be operated the same way?</t>
  </si>
  <si>
    <t>grey if only 1 silo</t>
  </si>
  <si>
    <t>Click here to go to the Table11-CBP sheet.</t>
  </si>
  <si>
    <t>Table 11: Fabric Filters - Concrete Batch Plant Standard Permits</t>
  </si>
  <si>
    <t>Click here to go back to the Table20-CBP sheet.</t>
  </si>
  <si>
    <t xml:space="preserve"> Should this sheet description be more tailored to the sheet?</t>
  </si>
  <si>
    <t>header changes to "all silos" if they indicate the silos are the same on table 20</t>
  </si>
  <si>
    <t>EPN</t>
  </si>
  <si>
    <t>Manufacturer</t>
  </si>
  <si>
    <t>Model Number</t>
  </si>
  <si>
    <t>List the sources being controlled</t>
  </si>
  <si>
    <t>Type of particulate controlled</t>
  </si>
  <si>
    <t>PM/PM10/PM2.5, cement dust</t>
  </si>
  <si>
    <t>Design maximum flow rate (acfm)</t>
  </si>
  <si>
    <t>red if less than average</t>
  </si>
  <si>
    <t>Average expected flow rate (acfm)</t>
  </si>
  <si>
    <t>Particulate grain loading (grain/scf) - inlet</t>
  </si>
  <si>
    <t>Particulate grain loading (grain/scf) - outlet</t>
  </si>
  <si>
    <t>Filter System 2</t>
  </si>
  <si>
    <t>grey if 1 silo or if they say all silos are the same.</t>
  </si>
  <si>
    <t>Filter System 3</t>
  </si>
  <si>
    <t>grey if 2 silos or if they say all silos are the same.</t>
  </si>
  <si>
    <t>Filter System 4</t>
  </si>
  <si>
    <t>grey if 3 silos or if they say all silos are the same.</t>
  </si>
  <si>
    <t>Filter System 5</t>
  </si>
  <si>
    <t>grey if 4 silos or if they say all silos are the same.</t>
  </si>
  <si>
    <t>Filter System 6</t>
  </si>
  <si>
    <t>grey if 5 silos or if they say all silos are the same.</t>
  </si>
  <si>
    <t>Filter System 7</t>
  </si>
  <si>
    <t>grey if 6 silos or if they say all silos are the same.</t>
  </si>
  <si>
    <t>Filter System 8</t>
  </si>
  <si>
    <t>grey if 7 silos or if they say all silos are the same.</t>
  </si>
  <si>
    <t>Model number</t>
  </si>
  <si>
    <t>Click here to go to the Table29-CBP sheet.</t>
  </si>
  <si>
    <t>Table 29: Reciprocating Engines - Concrete Batch Plant Standard Permits</t>
  </si>
  <si>
    <t>Click here to go back to the Table11-CBP sheet</t>
  </si>
  <si>
    <r>
      <t xml:space="preserve">This sheet provides information about the proposed stationary compression ignition internal combustion engines.
</t>
    </r>
    <r>
      <rPr>
        <b/>
        <sz val="11"/>
        <color rgb="FF000000"/>
        <rFont val="Arial"/>
        <family val="2"/>
      </rPr>
      <t xml:space="preserve">Instructions:
</t>
    </r>
    <r>
      <rPr>
        <sz val="11"/>
        <color rgb="FF000000"/>
        <rFont val="Arial"/>
        <family val="2"/>
      </rPr>
      <t>1. Complete all applicable questions below.</t>
    </r>
  </si>
  <si>
    <t>Manufacture date</t>
  </si>
  <si>
    <t>What is the engine exhaust stack height? (ft)</t>
  </si>
  <si>
    <t>Horsepower rating</t>
  </si>
  <si>
    <t>NOx emission factor (g/hp-hr)</t>
  </si>
  <si>
    <t>Does NSPS JJJJ apply?</t>
  </si>
  <si>
    <t>Does MACT ZZZZ apply?</t>
  </si>
  <si>
    <t>Does NSPS IIII apply?</t>
  </si>
  <si>
    <t>Does 30 TAC Chapter 117 apply?</t>
  </si>
  <si>
    <t>Engine 2</t>
  </si>
  <si>
    <t>grey if 1 selected on 6004 checklist, or if yes selected for all engines being the same</t>
  </si>
  <si>
    <t>Engine 3</t>
  </si>
  <si>
    <t>grey if 2 selected on 6004 checklist, or if yes selected for all engines being the same</t>
  </si>
  <si>
    <t>Horsepower</t>
  </si>
  <si>
    <t>turns red if above 1000</t>
  </si>
  <si>
    <t>Click here to go to the Public Notice Sheet.</t>
  </si>
  <si>
    <t>whole sheet grey if: not public works, not initial, not initial (move to new location), not renewal, not a change of reps requiring notice</t>
  </si>
  <si>
    <t>Click here to go back to Table29-CBP Sheet</t>
  </si>
  <si>
    <r>
      <t xml:space="preserve">This sheet is intended to assist in this determination of public notice requirements and is not a replacement for 30 TAC Chapter 39 (Public Notice). </t>
    </r>
    <r>
      <rPr>
        <b/>
        <sz val="11"/>
        <color theme="1"/>
        <rFont val="Arial"/>
        <family val="2"/>
      </rPr>
      <t>If you can see the page header, there are questions applicable to your project on this sheet.</t>
    </r>
  </si>
  <si>
    <t>https://www.tceq.texas.gov/permitting/air/bilingual/how1_2_pn.html</t>
  </si>
  <si>
    <t>grey if 6008</t>
  </si>
  <si>
    <t>https://statutes.capitol.texas.gov/Docs/HS/htm/HS.382.htm#382.05199</t>
  </si>
  <si>
    <t>grey if 6004</t>
  </si>
  <si>
    <r>
      <rPr>
        <b/>
        <sz val="11"/>
        <color rgb="FF000000"/>
        <rFont val="Arial"/>
        <family val="2"/>
      </rPr>
      <t>Instructions:</t>
    </r>
    <r>
      <rPr>
        <sz val="11"/>
        <color rgb="FF000000"/>
        <rFont val="Arial"/>
        <family val="2"/>
      </rPr>
      <t xml:space="preserve"> 
1. Complete all questions below.</t>
    </r>
  </si>
  <si>
    <t>I. Public Notice Information</t>
  </si>
  <si>
    <t>A. Contact Information</t>
  </si>
  <si>
    <r>
      <rPr>
        <sz val="11"/>
        <color theme="1"/>
        <rFont val="Arial"/>
        <family val="2"/>
      </rPr>
      <t xml:space="preserve">Enter the contact information for the </t>
    </r>
    <r>
      <rPr>
        <b/>
        <sz val="11"/>
        <color theme="1"/>
        <rFont val="Arial"/>
        <family val="2"/>
      </rPr>
      <t>person responsible for publishing.</t>
    </r>
    <r>
      <rPr>
        <sz val="11"/>
        <color theme="1"/>
        <rFont val="Arial"/>
        <family val="2"/>
      </rPr>
      <t xml:space="preserve"> This is a designated representative who is responsible for ensuring public notice is properly published in the appropriate newspaper and signs are posted at the facility site. This person will be contacted directly when the TCEQ is ready to authorize public notice for the application.</t>
    </r>
  </si>
  <si>
    <t>Company Name:</t>
  </si>
  <si>
    <r>
      <rPr>
        <sz val="11"/>
        <color theme="1"/>
        <rFont val="Arial"/>
        <family val="2"/>
      </rPr>
      <t xml:space="preserve">Enter the contact information for the </t>
    </r>
    <r>
      <rPr>
        <b/>
        <sz val="11"/>
        <color theme="1"/>
        <rFont val="Arial"/>
        <family val="2"/>
      </rPr>
      <t>Technical Contact.</t>
    </r>
    <r>
      <rPr>
        <sz val="11"/>
        <color theme="1"/>
        <rFont val="Arial"/>
        <family val="2"/>
      </rPr>
      <t xml:space="preserve"> This is the designated representative who will be listed in the public notice as a contact for additional information.</t>
    </r>
  </si>
  <si>
    <r>
      <rPr>
        <b/>
        <sz val="11"/>
        <color theme="1"/>
        <rFont val="Arial"/>
        <family val="2"/>
      </rPr>
      <t>B. Public place</t>
    </r>
    <r>
      <rPr>
        <sz val="11"/>
        <color theme="1"/>
        <rFont val="Arial"/>
        <family val="2"/>
      </rPr>
      <t xml:space="preserve">
Place a copy of the full application (including all of this workbook and all attachments) at a public place in the county where the facilities are or will be located. You must state where in the county the application will be available for public review and comment. The location must be a public place and described in the notice. A public place is a location which is owned and operated by public funds (such as libraries, county courthouses, city halls) and cannot be a commercial enterprise. You are required to pre-arrange this availability with the public place indicated below. The application must remain available from the first day of publication through the designated comment period.
If the application is submitted to the agency with information marked as Confidential, you are required to indicate which specific portions of the application are not being made available to the public. These portions of the application must be accompanied with the following statement: </t>
    </r>
    <r>
      <rPr>
        <b/>
        <i/>
        <sz val="11"/>
        <color theme="1"/>
        <rFont val="Arial"/>
        <family val="2"/>
      </rPr>
      <t>Any request for portions of this application that are marked as confidential must be submitted in writing, pursuant to the Public Information Act, to the TCEQ Public Information Coordinator, MC 197, P.O. Box 13087, Austin, Texas 78711-3087.</t>
    </r>
  </si>
  <si>
    <t>this section grey if 6008</t>
  </si>
  <si>
    <t>Name of Public Place:</t>
  </si>
  <si>
    <t>Physical Address:</t>
  </si>
  <si>
    <t>County:</t>
  </si>
  <si>
    <t>Has the public place granted authorization to place the application for public viewing and copying?</t>
  </si>
  <si>
    <r>
      <rPr>
        <b/>
        <sz val="11"/>
        <color theme="1"/>
        <rFont val="Arial"/>
        <family val="2"/>
      </rPr>
      <t>C. Alternate Language Publication</t>
    </r>
    <r>
      <rPr>
        <sz val="11"/>
        <color theme="1"/>
        <rFont val="Arial"/>
        <family val="2"/>
      </rPr>
      <t xml:space="preserve">
In some cases, public notice in an alternate language is required. If an elementary or middle school nearest to the facility is in a school district required by the Texas Education Code to have a bilingual program, a bilingual notice will be required. If there is no bilingual program required in the school nearest the facility, but children who would normally attend those schools are eligible to attend bilingual programs elsewhere in the school district, the bilingual notice will also be required. If it is determined that alternate language notice is required, you are responsible for ensuring that the publication in the alternate language is complete and accurate in that language.</t>
    </r>
  </si>
  <si>
    <t>Is a bilingual program required by the Texas Education Code in the School District?</t>
  </si>
  <si>
    <t>Are the children who attend either the elementary school or the middle school closest to your facility eligible to be enrolled in a bilingual program provided by the district?</t>
  </si>
  <si>
    <t>If yes to either question above, list which language(s) are required by the bilingual program?</t>
  </si>
  <si>
    <t>List second required language.</t>
  </si>
  <si>
    <t>List third required language.</t>
  </si>
  <si>
    <t>List fourth required language.</t>
  </si>
  <si>
    <t>III. Small Business Classification</t>
  </si>
  <si>
    <t>Complete this section to determine small business classification. If a small business requests a permit, agency rules (30 TAC § 39.603(f)(1)(A)) allow for alternative public notification requirements if all of the following criteria are met. If these requirements are met, public notice does not have to include publication of the prominent (12 square inch) newspaper notice.</t>
  </si>
  <si>
    <t>Does the company (including parent companies and subsidiary companies) have fewer than 100 employees or less than $6 million in annual gross receipts?</t>
  </si>
  <si>
    <t>Is the site a major source under 30 TAC Chapter 122, Federal Operating Permit Program?</t>
  </si>
  <si>
    <t>grey if question(s) above indicate not small business</t>
  </si>
  <si>
    <t>Are the site emissions of any individual air contaminant greater than or equal to 50 tpy?</t>
  </si>
  <si>
    <t>Are the site emissions of all air contaminants combined greater than or equal to 75 tpy?</t>
  </si>
  <si>
    <t>Small business classification:</t>
  </si>
  <si>
    <t>IV. Plain Language Summary</t>
  </si>
  <si>
    <t xml:space="preserve">Applications deemed administratively complete by May 1, 2022 must provide a plain language summary of the application to be posted on the TCEQ website. Templates can be found at the link below.	</t>
  </si>
  <si>
    <t>https://www.tceq.texas.gov/permitting/air/guidance/newsourcereview/nsrapp-tools.html</t>
  </si>
  <si>
    <t>Is a Plain Language Summary as required by 30 TAC § 39.405(k) provided with the application?</t>
  </si>
  <si>
    <t>Is a Plain Language Summary in an alternative language as required by 30 TAC § 39.426(c) provided with the application?</t>
  </si>
  <si>
    <t>Click here to go to the Fees sheet.</t>
  </si>
  <si>
    <t>whole sheet grey if: not public works, not initial, not initial (move to new location), not renewal, not a change of reps requiring fee</t>
  </si>
  <si>
    <t>Click here to go back to the Public Notice sheet.</t>
  </si>
  <si>
    <r>
      <t xml:space="preserve">This sheet is for requesting expedited permitting and determines application fee requirements for projects which require a fee. </t>
    </r>
    <r>
      <rPr>
        <b/>
        <sz val="11"/>
        <color theme="1"/>
        <rFont val="Arial"/>
        <family val="2"/>
      </rPr>
      <t xml:space="preserve">If you can see the page header, there are questions applicable to your project on this sheet.
</t>
    </r>
    <r>
      <rPr>
        <sz val="11"/>
        <color theme="1"/>
        <rFont val="Arial"/>
        <family val="2"/>
      </rPr>
      <t>Fees are due and payable at the time an application is filed. Required fees must be received before the agency will consider an application to be complete.
As of January 1, 2021, fees must be paid through ePay during the STEERS submitall process. Instructions for online payment through the ePay system can be found at the link below:</t>
    </r>
  </si>
  <si>
    <t>https://www3.tceq.texas.gov/epay/</t>
  </si>
  <si>
    <r>
      <rPr>
        <b/>
        <sz val="11"/>
        <color theme="1"/>
        <rFont val="Arial"/>
        <family val="2"/>
      </rPr>
      <t>Instructions:</t>
    </r>
    <r>
      <rPr>
        <sz val="11"/>
        <color theme="1"/>
        <rFont val="Arial"/>
        <family val="2"/>
      </rPr>
      <t xml:space="preserve">
1. Enter information related to the expedited permitting option.
2. If visible, enter payment information.
3. If applicable, submit the application under the seal of a Texas Licensed P.E.</t>
    </r>
  </si>
  <si>
    <t>I. Expedited Permitting Request</t>
  </si>
  <si>
    <t>Are you requesting to expedite this project?</t>
  </si>
  <si>
    <t>Does the purpose of the application associated with this request to expedite benefit the economy of this state or an area of this state. If no, this project does not qualify for expedited permitting.</t>
  </si>
  <si>
    <t>grey if no expedite</t>
  </si>
  <si>
    <t>Surcharge amount due</t>
  </si>
  <si>
    <t>Surcharge amount paid</t>
  </si>
  <si>
    <t>Enter the check, money order, ePay Voucher, or other transaction number. Enter "STEERS" if submitting and paying through STEERS.</t>
  </si>
  <si>
    <t>Unless submitting through STEERS, you must also submit the Form APD-APS Air Permitting Surcharge Payment to the TCEQ Cashier's office, link to the form below:</t>
  </si>
  <si>
    <t>https://www.tceq.texas.gov/publications/search_forms.html</t>
  </si>
  <si>
    <t>II. Application Fee</t>
  </si>
  <si>
    <t>All standard permit types and actions (unless the facility meets the requirements of being in or adjacent to the right of way of a public works project)</t>
  </si>
  <si>
    <t>III. Payment Information</t>
  </si>
  <si>
    <t>Was the fee paid online?</t>
  </si>
  <si>
    <t>Enter the fee amount</t>
  </si>
  <si>
    <t>Enter the company name as it appears on the check</t>
  </si>
  <si>
    <t>IV. Professional Engineer Seal Requirement</t>
  </si>
  <si>
    <t>Is the estimated capital cost of the project above $2 million?</t>
  </si>
  <si>
    <r>
      <t xml:space="preserve">Is this project subject to an exemption contained in the Texas Engineering Practice Act (TEPA)? (30 TAC </t>
    </r>
    <r>
      <rPr>
        <sz val="11"/>
        <color theme="1"/>
        <rFont val="Calibri"/>
        <family val="2"/>
      </rPr>
      <t>§</t>
    </r>
    <r>
      <rPr>
        <sz val="11"/>
        <color theme="1"/>
        <rFont val="Arial"/>
        <family val="2"/>
      </rPr>
      <t xml:space="preserve"> 116.110(f))</t>
    </r>
  </si>
  <si>
    <t>Is the application required to be submitted under the seal of a Texas licensed P.E.?
Note: an electronic PE seal is acceptable.</t>
  </si>
  <si>
    <t>Click here to go to the Copies sheet.</t>
  </si>
  <si>
    <t>Click here to go back to the Fees sheet.</t>
  </si>
  <si>
    <r>
      <rPr>
        <i/>
        <sz val="11"/>
        <color theme="1"/>
        <rFont val="Arial"/>
        <family val="2"/>
      </rPr>
      <t>This worksheet is for informational purposes only. No data is required and you do not need to print this sheet.</t>
    </r>
    <r>
      <rPr>
        <sz val="11"/>
        <color theme="1"/>
        <rFont val="Arial"/>
        <family val="2"/>
      </rPr>
      <t xml:space="preserve">
This worksheet provides guidance on where to send copies of the application materials. </t>
    </r>
    <r>
      <rPr>
        <b/>
        <sz val="11"/>
        <color theme="1"/>
        <rFont val="Arial"/>
        <family val="2"/>
      </rPr>
      <t xml:space="preserve">
Submittal Instructions:</t>
    </r>
    <r>
      <rPr>
        <sz val="11"/>
        <color theme="1"/>
        <rFont val="Arial"/>
        <family val="2"/>
      </rPr>
      <t xml:space="preserve">
1. Submit application materials as indicated below. Processing delays will occur if copies are not sent as noted.
2. Retain a copy for your records.
3. Indicate to whom copies have been sent on the cover letter of any subsequent correspondence.
</t>
    </r>
    <r>
      <rPr>
        <b/>
        <sz val="11"/>
        <color theme="1"/>
        <rFont val="Arial"/>
        <family val="2"/>
      </rPr>
      <t>Subsequent Submittal Instructions:</t>
    </r>
    <r>
      <rPr>
        <sz val="11"/>
        <color theme="1"/>
        <rFont val="Arial"/>
        <family val="2"/>
      </rPr>
      <t xml:space="preserve">
4. All subsequent correspondence should be copied to the TCEQ regional office and local air pollution control program(s), as appropriate. 
5. Indicate the assigned registration number(s), RN, CN, and permit reviewer, if known, on all subsequent correspondence.
6. A copy of all application materials must be maintained on-site. For sites that normally operate unattended, a copy must be maintained at an office within Texas that has operational control of the site.
</t>
    </r>
    <r>
      <rPr>
        <b/>
        <sz val="11"/>
        <color theme="1"/>
        <rFont val="Arial"/>
        <family val="2"/>
      </rPr>
      <t xml:space="preserve">Notes:
</t>
    </r>
    <r>
      <rPr>
        <sz val="11"/>
        <color theme="1"/>
        <rFont val="Arial"/>
        <family val="2"/>
      </rPr>
      <t xml:space="preserve">- </t>
    </r>
    <r>
      <rPr>
        <b/>
        <sz val="11"/>
        <color theme="5"/>
        <rFont val="Arial"/>
        <family val="2"/>
      </rPr>
      <t xml:space="preserve">Submittal through STEERS is required as of January 1, 2021.
</t>
    </r>
    <r>
      <rPr>
        <sz val="11"/>
        <color theme="1"/>
        <rFont val="Arial"/>
        <family val="2"/>
      </rPr>
      <t>- All application and application attachments for APD must be submitted electronically.</t>
    </r>
  </si>
  <si>
    <t>Who</t>
  </si>
  <si>
    <t>Where</t>
  </si>
  <si>
    <t>When</t>
  </si>
  <si>
    <t>What</t>
  </si>
  <si>
    <t>Air Permits Division Air Permits Initial Review Team (APIRT)</t>
  </si>
  <si>
    <t>Submit the application through STEERS following the instructions on the Cover sheet.</t>
  </si>
  <si>
    <t>All applications</t>
  </si>
  <si>
    <t>Application (including this PI-1S-CBP application workbook and required attachments)</t>
  </si>
  <si>
    <t>Financial Administrative Division, Revenue Operations Section</t>
  </si>
  <si>
    <t>ePay</t>
  </si>
  <si>
    <t>Permit fee and expedited processing surcharge, if expedited processing is requested</t>
  </si>
  <si>
    <t>All applications with updates since original submittal</t>
  </si>
  <si>
    <t>Copies of updated application materials (such as updated workbook or attachments) -- Note, original materials are automatically sent by STEERS</t>
  </si>
  <si>
    <t>Local Air Pollution Control Program(s)</t>
  </si>
  <si>
    <t>To find your local air pollution control programs go to the link below.</t>
  </si>
  <si>
    <t>All applications with updates since original submittal in an area having jurisdiction</t>
  </si>
  <si>
    <t>Links</t>
  </si>
  <si>
    <t>Destination</t>
  </si>
  <si>
    <t>Link</t>
  </si>
  <si>
    <t>TCEQ Regional Offices</t>
  </si>
  <si>
    <t>https://www.tceq.texas.gov/agency/directory/region</t>
  </si>
  <si>
    <t>Local Air Pollution Control Programs</t>
  </si>
  <si>
    <t>https://www.tceq.texas.gov/permitting/air/local_programs.html</t>
  </si>
  <si>
    <t>Click here to go to the 6004Requirements sheet.</t>
  </si>
  <si>
    <t>Click here to go back to the Copies sheet.</t>
  </si>
  <si>
    <t xml:space="preserve"> All of the following applicable requirements must be met to obtain a Concrete Batch Plant Standard Permit registration. No data is required on this sheet.</t>
  </si>
  <si>
    <t>Applicability</t>
  </si>
  <si>
    <t>A</t>
  </si>
  <si>
    <t>This air quality standard permit authorizes concrete batch plant facilities that meet all of the conditions listed in sections (1) through (7) and sections (8) or (9). Concrete batch plants that are authorized as temporary operations shall also comply with section (10) for relocation requirements. If a concrete batch plant operates using sections (8) or (9) of this standard permit and operational changes are proposed that would change the applicable section, the owner or operator shall reregister for the concrete batch plant standard permit prior to operating the change.</t>
  </si>
  <si>
    <t>B</t>
  </si>
  <si>
    <t>This standard permit does not authorize emission increases of any air contaminant that is specifically prohibited by a condition or conditions in any permit issued under Title 30 Texas Administrative Code (30 TAC) Chapter 116, Control of Air Pollution by Permits for New Construction or Modification, at the site.</t>
  </si>
  <si>
    <t>C</t>
  </si>
  <si>
    <t>This standard permit does not relieve the owner or operator from complying with any other applicable provision of the Texas Health and Safety Code (THSC), Texas Water Code, rules of the Texas Commission on Environmental Quality (TCEQ), or any additional state or federal regulations.</t>
  </si>
  <si>
    <t>D</t>
  </si>
  <si>
    <t>Facilities that meet the conditions of this standard permit do not have to meet the emissions and distance limitations in 30 TAC § 116.610(a)(1).</t>
  </si>
  <si>
    <t>Definitions</t>
  </si>
  <si>
    <t>Auxiliary storage tank – Storage containers used to hold raw materials for use in the batching process not including petroleum products and fuel storage tanks.</t>
  </si>
  <si>
    <t>Cohesive hard surface - An in-plant road surface preparation including, but not limited to: paving with concrete, asphalt, or other similar surface preparation where the road surface remains intact during vehicle and equipment use and is capable of being cleaned. Cleaning mechanisms may include water washing, sweeping, or vacuuming.</t>
  </si>
  <si>
    <t>Concrete batch plant - For the concrete batch plant standard permit, it is a plant that consists of a concrete batch facility and associated abatement equipment, including, but not limited to: material storage silos, aggregate storage bins, auxiliary storage tanks, conveyors, weigh hoppers, and a mixer. Concrete batch plants can add water, Portland cement, and aggregates into a delivery truck, or the concrete may be prepared in a central mix drum and transferred to a delivery truck for transport. This definition does not include operations that meet the requirements of 30 TAC § 106.141, Batch Mixer or 30 TAC § 106.146, Soil Stabilization Plants.</t>
  </si>
  <si>
    <t>Dust suppressing fencing or other barrier - A manmade obstruction that is at least 12 feet high that is used to prevent fugitive dust from stationary equipment stockpiles, in-plant roads, and traffic areas from leaving the plant property.</t>
  </si>
  <si>
    <t>E</t>
  </si>
  <si>
    <t>Permanent concrete batch plant - For the concrete batch plant standard permit, it is a concrete batch plant that is not a temporary or specialty concrete batch plant.</t>
  </si>
  <si>
    <t>F</t>
  </si>
  <si>
    <t>Related project segments - For plants on a Texas Department of Transportation right-of-way, related project segments are one contract with multiple project locations or one contractor with multiple contracts in which separate project limits are in close proximity to each other. A plant that is sited on the right-of-way is usually within project limits. However, a plant located at an intersection or wider right-of-way outside project limits is acceptable if it can be easily associated with the project.</t>
  </si>
  <si>
    <t>G</t>
  </si>
  <si>
    <t>Right-of-way of a public works project - Any public works project that is associated with a right-of-way. Examples of right-of-way public works projects are public highways and roads, water and sewer pipelines, electrical transmission lines, and other similar works. A facility must be in or contiguous to the right-of-way of the public works project to be exempt from the public notice requirements listed in Texas Health and Safety Code, § 382.056, Notice of Intent to Obtain Permit or Permit Review; Hearing.</t>
  </si>
  <si>
    <t>H</t>
  </si>
  <si>
    <t>Site - The total of all stationary sources located on one or more contiguous or adjacent properties, which are under common control of the same person (or persons under common control).</t>
  </si>
  <si>
    <t>I</t>
  </si>
  <si>
    <t>Setback distance - The minimum distance from the nearest suction shroud fabric/cartridge filter exhaust (truck mix plant), drum feed fabric/cartridge filter exhaust (central mix plant), batch mixer feed exhaust (specialty plant), cement/flyash storage silos,  and/or engine to any property line.</t>
  </si>
  <si>
    <t>J</t>
  </si>
  <si>
    <t>K</t>
  </si>
  <si>
    <t>Specialty concrete batch plant - For the concrete batch plant standard permit, it is a concrete batch plant with a low production concrete mixing plant that manufactures concrete less than or equal to 60 cubic yards per hour (yd3/hr). These plants are typically dedicated to manufacturing precast concrete products, including but not limited to burial vaults, septic tanks, yard ornaments, concrete block, and pipe, etc. This does not include small repair projects using mortar, grout, gunite, or other concrete repair materials.</t>
  </si>
  <si>
    <t>L</t>
  </si>
  <si>
    <t>Stationary internal combustion engine - For the concrete batch plant standard permit, it is any internal combustion engine that remains at a location for more than 12 consecutive months and is not defined as a nonroad engine according to 40 Code of Federal Regulations CFR 89.2, Definitions.</t>
  </si>
  <si>
    <t>M</t>
  </si>
  <si>
    <t>Temporary concrete batch plant - For the concrete batch plant standard permit, it is a concrete batch plant that occupies a designated site for not more than 180 consecutive days or that supplies concrete for a single project single contract or same contractor for related project segments, but not for other unrelated projects.</t>
  </si>
  <si>
    <t>N</t>
  </si>
  <si>
    <t>Traffic areas - For the concrete batch plant standard permit, it is an area within the concrete batch plant that includes stockpiles and the area where mobile equipment moves or supplies aggregate to the batch plant and trucks supply aggregate and cement.</t>
  </si>
  <si>
    <t>O</t>
  </si>
  <si>
    <t>Truck mix plant – a concrete batch plant where sand, aggregate, cement, cement supplement, and water are all gravity fed from the weigh hopper into mixer trucks. The concrete is mixed on the way to the site where the concrete is to be poured.</t>
  </si>
  <si>
    <t>Administrative Requirements</t>
  </si>
  <si>
    <t>The owner or operator of any concrete batch plant seeking authorization under this standard permit shall register in accordance with 30 TAC § 116.611, Registration to Use a Standard Permit. Owners or operators shall submit a completed, current PI-1S-CBP, Concrete Batch Plant Standard Permit Registration Application.</t>
  </si>
  <si>
    <t>Owners or operators shall also comply with 30 TAC § 116.614, Standard Permit Fees, when they are required to complete public notice under section four of this standard permit.</t>
  </si>
  <si>
    <t>No owner or operator of a concrete batch plant shall begin construction or operation without obtaining written approval from the TCEQ executive director.</t>
  </si>
  <si>
    <t>The time period in 30 TAC § 116.611(b) (45 days) does not apply to owners or operators registering plants under this standard permit.</t>
  </si>
  <si>
    <t>Beginning on the effective date, all new and modified sources must comply with this standard permit.</t>
  </si>
  <si>
    <t>Renewals shall comply with this standard permit on the later of:</t>
  </si>
  <si>
    <t>(i)</t>
  </si>
  <si>
    <t>Two years from the effective date; or</t>
  </si>
  <si>
    <t>(ii)</t>
  </si>
  <si>
    <t>the date the facility’s registration is renewed.</t>
  </si>
  <si>
    <t>Owners or operators of temporary concrete plants seeking registration and those already registered for this standard permit that qualify for relocation under subsection (10)(A) are exempt from public notice requirements in section (4) of this standard permit.</t>
  </si>
  <si>
    <t>During start of construction, the owner or operator of a plant shall comply with 30 TAC § 116.120(a)(1), Voiding of Permits, and commence construction within 18 months of written approval from the Executive Director.</t>
  </si>
  <si>
    <t>Owners or operators are not required to submit air dispersion modeling as a part of this concrete batch plant standard permit registration.</t>
  </si>
  <si>
    <t>Owners or operators shall keep written records on site for a rolling 24-month period. Owners or operators shall make these records available at the request of TCEQ personnel or any air pollution control program having jurisdiction. Records shall be maintained on-site for the following including, but not limited to:</t>
  </si>
  <si>
    <t>30 TAC § 101.201, Emissions Event Reporting and Recordkeeping Requirements;</t>
  </si>
  <si>
    <t>30 TAC § 101.211, Scheduled Maintenance, Startup, and Shutdown Reporting and Recordkeeping Requirements;</t>
  </si>
  <si>
    <t>(iii)</t>
  </si>
  <si>
    <t>production rates for hourly and annual operations that demonstrate compliance with the tables in subsection (8)(A) or the production limitations in subsection of this standard permit, as applicable;  ;</t>
  </si>
  <si>
    <t>(iv)</t>
  </si>
  <si>
    <t xml:space="preserve">all repairs and maintenance of abatement systems and other dust suppression controls;  </t>
  </si>
  <si>
    <t>(v)</t>
  </si>
  <si>
    <t>Material Safety Data Sheets for all additives and other chemicals used at the site;</t>
  </si>
  <si>
    <t>(vi)</t>
  </si>
  <si>
    <t>road cleaning, application of road dust control, or road maintenance for dust control;</t>
  </si>
  <si>
    <t>(vii)</t>
  </si>
  <si>
    <t>stockpile dust suppression;</t>
  </si>
  <si>
    <t>(viii)</t>
  </si>
  <si>
    <t>monthly silo warning device or shut-off system tests;</t>
  </si>
  <si>
    <t>(ix)</t>
  </si>
  <si>
    <t>quarterly visible emissions observations and any corrective actions required to control excess visible emissions;</t>
  </si>
  <si>
    <t>(x)</t>
  </si>
  <si>
    <t>demonstration of compliance with subsection (6)(B) of this standard permit; and</t>
  </si>
  <si>
    <t>(xi)</t>
  </si>
  <si>
    <t>type of fuel used to power engines authorized by this standard permit.</t>
  </si>
  <si>
    <t>(xii)</t>
  </si>
  <si>
    <t>demonstration of compliance with subsection (5)(L) of this standard permit.</t>
  </si>
  <si>
    <t>Owners or operators will document and report abatement equipment failure or visible emissions deviations in excess of paragraph (5)(B)(iii) in accordance with 30 TAC Chapter 101, General Air Quality Rules as appropriate.</t>
  </si>
  <si>
    <t>This cell is intentionally blank.</t>
  </si>
  <si>
    <t>The owner or operator shall follow the notice requirements in 30 TAC Chapter 39, Public Notice, unless a temporary concrete batch plant is exempted from public notice under 30 TAC § 116.178(b), Relocations and Changes of Location of Portable Facilities.</t>
  </si>
  <si>
    <t>General Requirements</t>
  </si>
  <si>
    <t>Owners or operators shall vent all cement/flyash storage silos, weigh hoppers, and auxiliary storage tanks to a fabric/cartridge filter or to a central fabric/cartridge filter system except as allowed by subsection (9)(B).</t>
  </si>
  <si>
    <t>Owners or operators shall maintain fabric or cartridge filters and collection systems by meeting all the following:</t>
  </si>
  <si>
    <t>operating them properly with no tears or leaks;</t>
  </si>
  <si>
    <t>using filter systems (including any central filter system) designed to meet a minimum control efficiency of at least 99.5 percent at particle sizes of 2.5 microns and smaller;</t>
  </si>
  <si>
    <t>meeting a performance standard of no visible emissions exceeding 30 seconds in any six-minute period as determined using United States Environmental Protection Agency (EPA) Test Method (TM) 22; and</t>
  </si>
  <si>
    <t>sufficiently illuminating silo filter exhaust systems when cement or fly ash silos are filled during non-daylight hours to enable a determination of compliance with the visible emissions requirement in paragraph (5)(B)(iii) of this standard permit.</t>
  </si>
  <si>
    <t>When transferring cement/fly ash, owners or operators shall:</t>
  </si>
  <si>
    <t>totally enclose conveying systems to and from storage silos and auxiliary storage tanks, operate them properly, and maintain them with no tears or leaks; and</t>
  </si>
  <si>
    <t>maintain the conveying system using a performance standard of no visible emissions exceeding 30 seconds in any six-minute period as determined using EPA TM 22, except during cement and fly ash tanker connect and disconnect.</t>
  </si>
  <si>
    <t>The owner or operator shall install an automatic shut-off or warning device on storage silos.</t>
  </si>
  <si>
    <t>An automatic shut-off device on the silo shall shut down the loading of the silo or auxiliary storage tank prior to reaching its capacity during loading operations, in order to avoid adversely impacting the pollution abatement equipment or other parts of the loading operation.</t>
  </si>
  <si>
    <t>If a warning device is used, it shall alert operators in sufficient time to prevent an adverse impact on the pollution abatement equipment or other parts of the loading operation. Visible warning devices shall be kept free of particulate build-up at all times.</t>
  </si>
  <si>
    <t>Silo and auxiliary storage tank warning devices or shut-off systems shall be tested at least once monthly during operations and records shall be kept indicating test and repair results according to subsection (3)(J) of this standard permit. Silo and auxiliary storage tank loading and unloading shall not be conducted with inoperative or faulty warning or shut-off devices.</t>
  </si>
  <si>
    <t>Owners or operators shall control emissions from in-plant roads and traffic areas at all times by one or more of the following methods:</t>
  </si>
  <si>
    <t>watering them;</t>
  </si>
  <si>
    <t>treating them with dust-suppressant chemicals as described in the application of aqueous detergents, surfactants, and other cleaning solutions in the de minimis list;</t>
  </si>
  <si>
    <t>covering them with a material such as, (but not limited to), roofing shingles or tire chips and used in combination with (i) or (ii) of this subsection; or</t>
  </si>
  <si>
    <t>paving them with a cohesive hard surface that is maintained intact and cleaned.</t>
  </si>
  <si>
    <t>Owners or operators shall use water, dust-suppressant chemicals, or cover stockpiles, as necessary to minimize dust emissions.</t>
  </si>
  <si>
    <t>Owners or operators shall immediately clean up spilled materials. To minimize dust emissions, owners or operators shall contain, or dampen spilled materials.</t>
  </si>
  <si>
    <t>There shall be no visible fugitive emissions leaving the property. Observations for visible emissions shall be performed and recorded quarterly. The visible emissions determination shall be made during normal plant operations. Observations shall be made on the downwind property line for a minimum of six minutes. If visible emissions are observed, an evaluation must be accomplished in accordance with U.S. Environmental Protection Agency (EPA) Title 40 Code of Federal Regulations Part 60 (40 CFR Part 60), Appendix A, TM 22, using the criteria that visible emissions shall not exceed a cumulative 30 seconds in duration in any six-minute period. If visible emissions exceed the Test Method 22 criteria, immediate action shall be taken to eliminate the excessive visible emissions. The corrective action shall be documented within 24 business hours of completion.</t>
  </si>
  <si>
    <t>The owner or operator shall locate the concrete batch plant operating under this standard permit at least 550 feet from any crushing plant or hot mix asphalt plant. The owner or operator shall measure from the closest point on the concrete batch plant to the closest point on any other facility. If the owner or operator cannot meet this distance, then the owner or operator shall not operate the concrete batch plant at the same time as the crushing plant or hot mix asphalt plant.</t>
  </si>
  <si>
    <t>When operating multiple concrete batch plants on the same site, the owner or operator shall comply with the appropriate site production and setback limits specified in sections (8) or (9) of this standard permit.</t>
  </si>
  <si>
    <t>Concrete additives shall not emit volatile organic compounds (VOCs).</t>
  </si>
  <si>
    <t>All sand and aggregate shall be washed prior to delivery to the site.</t>
  </si>
  <si>
    <t>Any claim under this standard permit shall comply with the following:</t>
  </si>
  <si>
    <t>30 TAC § 116.604, Duration and Renewal of Registrations to Use Standard Permits;</t>
  </si>
  <si>
    <t>30 TAC § 116.605(d)(I), Standard Permit Amendment and Revocation;</t>
  </si>
  <si>
    <t>30 TAC § 116.614;</t>
  </si>
  <si>
    <t>the public notice processes established in THSC, § 382.055, Review and Renewal of Preconstruction Permit;</t>
  </si>
  <si>
    <t>the public notice processes established in THSC, § 382.056;</t>
  </si>
  <si>
    <t>the contested case hearing and public notice requirements established in 30 TAC § 55.152(a)(2), Public Comment Period; and</t>
  </si>
  <si>
    <t>the contested case hearing and public notice requirements established in 30 TAC § 55.201(h)(i)(C), Requests for Reconsideration or Contested Case Hearing.</t>
  </si>
  <si>
    <t>The owner or operator of any concrete batch plant authorized by this standard permit shall comply with 30 TAC § 101.4, Nuisance.</t>
  </si>
  <si>
    <t>Engines</t>
  </si>
  <si>
    <t>This standard permit authorizes emissions from a stationary compression ignition internal combustion engine (or combination of engines) of no more than 1,000 total horsepower.</t>
  </si>
  <si>
    <t>Owners or operators of concrete batch plants that include a stationary compression ignition internal combustion engines shall comply with additional applicable engine requirements in 40 CFR 60 Subpart IIII, Standards of Performance for Stationary Compression Ignition Internal Combustion Engines, 40 CFR 63, Subpart ZZZZ, National Emissions Standards for Hazardous Air Pollutants for Stationary Reciprocating Internal Combustion Engines, 30 TAC Chapter 117, Control of Air Pollution from Nitrogen Compounds, and any other applicable state or federal regulation.</t>
  </si>
  <si>
    <t>Engine exhaust stacks shall be a minimum of eight feet tall.</t>
  </si>
  <si>
    <t>Fuel for the engine shall be liquid fuel with a maximum sulfur content of no more than 0.0015 percent by weight and shall not consist of a blend containing waste oils or solvents.</t>
  </si>
  <si>
    <t xml:space="preserve">Emissions from the engine(s) shall not exceed 2.61 grams per horsepower-hour (g/hp-hr) of NOX, per manufacturer’s specifications. A copy of the manufacturer's specifications shall be kept at the site. </t>
  </si>
  <si>
    <t>If engines are being used for electrical power or equipment operations, then the site is limited to a total of 1,000 hp in simultaneous operation. There are no restrictions to engine operations if the engines will be on-site for less than 12 consecutive months.</t>
  </si>
  <si>
    <t>Planned Maintenance, Startup, and Shutdown (MSS) Activities</t>
  </si>
  <si>
    <t>This standard permit authorizes operations including planned startup and shutdown emissions. Maintenance activities are not authorized by this standard permit and will need separate authorization, unless the activity can meet the conditions of 30 TAC § 116.119, De Minimis Facilities or Sources.</t>
  </si>
  <si>
    <t>Operational Requirements for Permanent and Temporary Concrete Plants</t>
  </si>
  <si>
    <t>Concrete batch plants authorized under this standard permit shall be limited to the maximum hourly production rate, and minimum setback distances for the suction shroud fabric/cartridge filter exhaust (truck mix plant), drum feed fabric/cartridge filter exhaust (central mix plant), cement/flyash storage silos,  and/or engine, based upon the plant location as follows:</t>
  </si>
  <si>
    <t xml:space="preserve">A single truck mix plant shall operate under the requirements in subsection (8)(E) and shall comply with Table 1 below, except as provided in paragraph (A)(ii) of this section. </t>
  </si>
  <si>
    <t xml:space="preserve">Table 1: Production Rates and Setback Distances, single truck mix plant with shrouded mixer truck-receiving funnel. </t>
  </si>
  <si>
    <t>Location County </t>
  </si>
  <si>
    <t>Production Rate</t>
  </si>
  <si>
    <t>Setback Distance (ft)</t>
  </si>
  <si>
    <t>Brazoria, Chambers, Fort Bend, Galveston, Harris, Liberty, Montgomery, and Waller </t>
  </si>
  <si>
    <r>
      <t>200 yd</t>
    </r>
    <r>
      <rPr>
        <vertAlign val="superscript"/>
        <sz val="12"/>
        <rFont val="Arial"/>
        <family val="2"/>
      </rPr>
      <t>3</t>
    </r>
    <r>
      <rPr>
        <sz val="12"/>
        <rFont val="Arial"/>
        <family val="2"/>
      </rPr>
      <t>/hour</t>
    </r>
  </si>
  <si>
    <t>Cameron and Hidalgo</t>
  </si>
  <si>
    <t>All other counties </t>
  </si>
  <si>
    <t xml:space="preserve">A single truck mix plant operating under the requirements in subsection (8)(E) and subsection (8)(F) shall comply with Table 2 below. </t>
  </si>
  <si>
    <t xml:space="preserve">Table 2: Production Rates and Setback Distances, single truck mix plant with shrouded mixer truck-receiving funnel and enclosure. </t>
  </si>
  <si>
    <t>Location (County) </t>
  </si>
  <si>
    <t>All counties</t>
  </si>
  <si>
    <t>Multiple truck mix plants at the same site operating under the requirements in subsection (8)(E) and subsection (8)(F) shall comply with Table 3 below.</t>
  </si>
  <si>
    <t>Table 3: Production Rates and Setback Distances, multiple truck mix plants at a single site with enclosure.</t>
  </si>
  <si>
    <t>Total Site Production Rate</t>
  </si>
  <si>
    <t>Setback Distance (ft) for each Plant</t>
  </si>
  <si>
    <r>
      <t>300 yd</t>
    </r>
    <r>
      <rPr>
        <vertAlign val="superscript"/>
        <sz val="12"/>
        <rFont val="Arial"/>
        <family val="2"/>
      </rPr>
      <t>3</t>
    </r>
    <r>
      <rPr>
        <sz val="12"/>
        <rFont val="Arial"/>
        <family val="2"/>
      </rPr>
      <t>/hour</t>
    </r>
  </si>
  <si>
    <t>300 yd3/hour</t>
  </si>
  <si>
    <t>Central mix plants shall comply with Table 4 below.</t>
  </si>
  <si>
    <t>Table 4: Production Rates and Setback Distances, central mix plants.</t>
  </si>
  <si>
    <t>Temporary concrete batch plants approved to operate in or contiguous to the right-of-way of a public works project are exempt from subsections (8)(E) and (F) and the minimum setback distances.</t>
  </si>
  <si>
    <t>Concrete batch plants shall be limited to a maximum production rate of no more than 650,000 cubic yards per year (yd3/yr) in any rolling 12-month period.</t>
  </si>
  <si>
    <t>The owner or operator shall install and properly maintain a suction shroud at the truck mix batch drop point or a total enclosure of the central mix drum feed exhaust and vent the captured emissions to a fabric/cartridge filter system with a minimum of 5,000 actual cubic feet per minute (acfm) of air.</t>
  </si>
  <si>
    <t xml:space="preserve">For truck mix plants, the owner or operator shall shelter the drop point by an intact three-sided enclosure with a flexible shroud hanging from above the truck, or equivalent dust collection technology that extends below the mixer truck-receiving funnel. </t>
  </si>
  <si>
    <t xml:space="preserve">For alternative setback distances as listed in subsection (8)(A) Tables 2 and 3, in addition to subsection (8)(E), the owner or operator of truck mix plants shall shelter the truck loading operation with a three-sided solid enclosure or equivalent that extends from the ground level to three feet above the truck-receiving funnel. </t>
  </si>
  <si>
    <t xml:space="preserve">For permanent plants, the owner or operator shall prevent tracking of sediment onto adjacent roadways and reduce the generation of dust by one or more of the following methods: </t>
  </si>
  <si>
    <t xml:space="preserve">watering, sweeping, and cleaning the plant road entrances; </t>
  </si>
  <si>
    <t xml:space="preserve">the use of a rumble grate (or equivalent) that is placed at least 50 feet from a public road to dislodge sediment from the wheels and undercarriage of trucks that haul aggregate, cement, and/or concrete;  </t>
  </si>
  <si>
    <t xml:space="preserve">the use of a vacuum truck (or equivalent) to clean the plant road entrances; or </t>
  </si>
  <si>
    <t>the use of a tire-wash system (or equivalent) to remove sediment from the wheels and undercarriage of trucks that haul aggregate, cement, and/or concrete. It shall  be (1) located in front of some type of traffic restriction such as a scale, plant gate or a stop sign to encourage its proper use, and (2) shall  be set back at least 50 feet from the public road. This permit does not authorize the construction and/or use of a truck washing system under Texas Water Code Chapter 26.</t>
  </si>
  <si>
    <t xml:space="preserve">Stationary equipment (excluding the suction shroud fabric/cartridge filter exhaust, drum feed fabric/cartridge filter exhaust, cement/flyash storage silos,  and engine), stockpiles, and vehicles used for the operation of the concrete batch plant (except for incidental traffic and the entrance and exit to the site), shall not be located closer than 50 feet less than the applicable minimum setback distance listed in subsection (8)(A) from any property line. </t>
  </si>
  <si>
    <t xml:space="preserve">In lieu of meeting the distance requirements for roads of subsection (8)(H) of this standard permit, the owner or operator shall:  </t>
  </si>
  <si>
    <t xml:space="preserve">construct and maintain in good working order dust suppressing fencing or other equivalent barriers as a border around roads, other traffic areas, and work areas; </t>
  </si>
  <si>
    <t xml:space="preserve">construct these borders to a height of at least 12 feet;  </t>
  </si>
  <si>
    <t xml:space="preserve">In lieu of meeting the distance requirements for roads of subsection (8)(H) of this standard permit, the owner or operator shall; </t>
  </si>
  <si>
    <t xml:space="preserve">contain stockpiles within a three-walled bunker that extends at least two feet above the top of the stockpile. </t>
  </si>
  <si>
    <t>For permanent plants, the owner or operator shall pave all entry and exit roads and main traffic routes associated with the operation of the concrete batch plant (including batch truck and material delivery truck roads) with a cohesive hard surface that shall be cleaned and maintained intact. All batch trucks and material delivery trucks shall remain on the paved surface when entering, conducting primary function, and leaving the property. The owner or operator shall maintain other traffic areas using the control requirements of subsection (5)(E) of this standard permit.</t>
  </si>
  <si>
    <t>Additional Requirements for Specialty Concrete Batch Plants</t>
  </si>
  <si>
    <t>Specialty concrete batch plants authorized under this standard permit shall be limited to the maximum hourly production rate, maximum annual production rate in any rolling 12-month period, and minimum setback distance for the batch mixer feed exhaust as follows:</t>
  </si>
  <si>
    <t>The owner or operator shall limit site production to no more than 300 cubic yards in any one hour and no more than 6,000 cubic yards per day.</t>
  </si>
  <si>
    <t xml:space="preserve">Table 5: Hourly and Annual Maximum Production Rates and Minimum Setback Distances, Specialty Concrete Batch Plants </t>
  </si>
  <si>
    <r>
      <t>Maximum Hourly Production Rate (yd</t>
    </r>
    <r>
      <rPr>
        <b/>
        <vertAlign val="superscript"/>
        <sz val="12"/>
        <rFont val="Arial"/>
        <family val="2"/>
      </rPr>
      <t>3</t>
    </r>
    <r>
      <rPr>
        <b/>
        <sz val="12"/>
        <rFont val="Arial"/>
        <family val="2"/>
      </rPr>
      <t>/hr)</t>
    </r>
  </si>
  <si>
    <r>
      <t>Maximum Annual Production Rate (yd</t>
    </r>
    <r>
      <rPr>
        <b/>
        <vertAlign val="superscript"/>
        <sz val="12"/>
        <rFont val="Arial"/>
        <family val="2"/>
      </rPr>
      <t>3</t>
    </r>
    <r>
      <rPr>
        <b/>
        <sz val="12"/>
        <rFont val="Arial"/>
        <family val="2"/>
      </rPr>
      <t>/yr)</t>
    </r>
  </si>
  <si>
    <t>Minimum Setback Distance (ft)</t>
  </si>
  <si>
    <t>No more than 30</t>
  </si>
  <si>
    <t>More than 30 but less than or equal to 60</t>
  </si>
  <si>
    <t>As an alternative to the requirement in subsection (5)(A) of this standard permit, the owner or operator may vent the cement/fly ash weigh hopper inside the batch mixer.</t>
  </si>
  <si>
    <t>The owner or operator shall control dust emissions at the batch mixer feed so that no outdoor visible emissions occur by one of the following:</t>
  </si>
  <si>
    <t>using a suction shroud or other pickup device delivering air to a fabric or cartridge filter;</t>
  </si>
  <si>
    <t>using an enclosed batch mixer feed; or</t>
  </si>
  <si>
    <t>conducting the entire mixing operation inside an enclosed process building.</t>
  </si>
  <si>
    <t>The owner or operator shall not operate vehicles used for the operation of the concrete batch plant (except for incidental traffic and the entrance and exit to the site) within a minimum buffer distance of 50 feet less than the applicable minimum setback distance listed in subsection (9)(A) from any property line. </t>
  </si>
  <si>
    <t>In lieu of meeting the buffer distance requirement for roads and other traffic areas in subsection (9)(D) (10)(D) of this standard permit, owners or operators shall:</t>
  </si>
  <si>
    <t xml:space="preserve">construct dust suppressing fencing or other barriers as a border around roads, other traffic areas, and work areas; and  </t>
  </si>
  <si>
    <t>construct these borders to a height of at least 12 feet.</t>
  </si>
  <si>
    <t>Temporary Concrete Plants Relocation Requirements</t>
  </si>
  <si>
    <t>A registered portable facility and associated equipment are moving to a site for support of a public works project in which the proposed site is located in or contiguous to the right-of-way of the public works project; or</t>
  </si>
  <si>
    <t>A registered portable facility is moving to a site in which a portable facility has been located at the site at any time during the previous two years and the site was subject to public notice.</t>
  </si>
  <si>
    <t>For relocations meeting subsection (10)(A) of this standard permit, the owner or operator must submit to the regional office and any local air pollution control agency having jurisdiction at least 12 business days prior to locating at the site:</t>
  </si>
  <si>
    <t>The company name, address, company contact, and telephone number;</t>
  </si>
  <si>
    <t>The regulated entity number (RN), customer reference number (CN), applicable permit or registration numbers, and if available, the TCEQ account number;</t>
  </si>
  <si>
    <t>The location from which the facility is moving (current location);</t>
  </si>
  <si>
    <t>A location description of the proposed site (city, county, and exact physical location description);</t>
  </si>
  <si>
    <t>A scaled plot plan that identifies the location of all equipment and stockpiles, and also indicates that the required setback distances to the property lines can be met at the new location;</t>
  </si>
  <si>
    <t>Representation of maximum hourly and annual site production;</t>
  </si>
  <si>
    <t>A scaled area map that clearly indicates how the proposed site is contiguous or adjacent to the right-of-way of a public works project (if required);</t>
  </si>
  <si>
    <t>The proposed date for start of construction and expected date for start of operation;</t>
  </si>
  <si>
    <t xml:space="preserve">The expected time period at the proposed site; </t>
  </si>
  <si>
    <t>The permit or registration number of the portable facility that was located at the proposed site any time during the last two years, and the date the facility was last located there. This information is not necessary if the relocation request is for a public works project that is contiguous or adjacent to the right-of-way of a public works project; and</t>
  </si>
  <si>
    <t>Proof that the proposed site had accomplished public notice, as required by 30 TAC Chapter 39. This proof is not necessary if the relocation request is for a public works project that is contiguous or adjacent to the right-of-way of a public works project.</t>
  </si>
  <si>
    <t>The owner or operator shall submit a completed current TCEQ Regional Notification Standard Permit/PBR Relocation Form when applying to relocate a temporary concrete batch plant.</t>
  </si>
  <si>
    <t>Click here to go to the 6008Checklist sheet.</t>
  </si>
  <si>
    <t>Click here to go back to the 6004 Requirements sheet.</t>
  </si>
  <si>
    <t>Effective Date August 16, 2004</t>
  </si>
  <si>
    <t xml:space="preserve"> All of the following applicable requirements must be met to obtain a Concrete Batch Plant with Enhanced Controls Standard Permit registration. No data is required on this sheet.</t>
  </si>
  <si>
    <t>This air quality standard permit authorizes concrete batch plant facilities which meet all of the conditions listed in sections (1) through (3).</t>
  </si>
  <si>
    <t>Any concrete batch plant authorized under this standard permit must be registered in accordance with 30 TAC § 116.611, Registration to Use a Standard Permit. Owners or operators must submit a completed current PI-1S-CBP, Table 20 and a Concrete Batch Plant with Enhanced Controls Standard Permit checklist and a scaled plot plan of the plant site. Facilities which meet the conditions of this standard permit do not have to meet the emissions and distance limitations listed in 30 TAC § 116.610(a)(1), Applicability.</t>
  </si>
  <si>
    <t>Registration applications must comply with 30 TAC § 116.614 “Standard Permit Fees.”</t>
  </si>
  <si>
    <t>No owner or operator of a concrete batch plant is permitted to begin construction and/or operation without obtaining written approval from the executive director. The time period in 30 TAC § 116.611(b) (45 days) does not apply to facilities registering under this permit. Start of construction of any facility registered under this standard permit must comply with 30 TAC § 116.120 and commence construction within 18 months of written approval from the TCEQ.</t>
  </si>
  <si>
    <t>Applicants are not required to submit air dispersion modeling as a part of any concrete batch plant standard permit application.</t>
  </si>
  <si>
    <t>The following production records must be maintained on site for a rolling 24-month period while the plant is in operation:</t>
  </si>
  <si>
    <t>production rates for each hour of operation demonstrating compliance with (3)(H); and</t>
  </si>
  <si>
    <t>other records as required by 30 TAC 101.201 and § 101.211.</t>
  </si>
  <si>
    <t>For the purposes of this standard permit, a “site” is defined as one or more contiguous or adjacent properties which are under common control of the same person (or persons under common control).</t>
  </si>
  <si>
    <t>An application for authorization to construct and operate a concrete batch plant under this standard permit is not subject to the public notice requirements in 30 TAC Chapter 39 Subchapters H &amp; K.</t>
  </si>
  <si>
    <t>For authorization to use this standard permit, an applicant must publish notice under this section not later than the earlier of:</t>
  </si>
  <si>
    <t>the 30th day after the date the applicant receives written notice from the executive director that the application is technically complete; or</t>
  </si>
  <si>
    <t>the 75th day after the date the executive director receives the application.</t>
  </si>
  <si>
    <t>The applicant must publish notice at least once in a newspaper of general circulation in the municipality in which the plant is proposed to be located or in the municipality nearest to the proposed location of the plant. If the elementary or middle school nearest to the proposed plant provides a bilingual education program as required by Subchapter B, Chapter 29, Education Code, the applicant must also publish the notice at least once in an additional publication of general circulation in the municipality or county in which the plant is proposed to be located that is published in the language taught in the bilingual education program. This requirement is waived if such a publication does not exist or if the publisher refuses to publish the notice.</t>
  </si>
  <si>
    <t>The notice must include:</t>
  </si>
  <si>
    <t>a brief description of the proposed location and nature of the proposed plant;</t>
  </si>
  <si>
    <t>a description, including a telephone number, of the manner in which the executive director may be contacted for further information;</t>
  </si>
  <si>
    <t>a description, including a telephone number, of the manner in which the applicant may be contacted for further information;</t>
  </si>
  <si>
    <t>the location and hours of operation of the commission's regional office at which a copy of the application is available for review and copying; and</t>
  </si>
  <si>
    <t>a brief description of the public comment process, including the time and location of the public hearing, and the mailing address and deadline for filing written comments.</t>
  </si>
  <si>
    <t>The public comment period begins on the first date notice is published under Subsection (2)(B) and extends to the close of the public hearing.</t>
  </si>
  <si>
    <t>A public hearing must be held not less than 30 days and not more than 45 days after the first date notice is published under Subsection (2)(B). The public hearing must be held in the county in which the plant is proposed to be located.</t>
  </si>
  <si>
    <t>A public hearing held under this standard permit is not an evidentiary proceeding. Any person may submit an oral or written statement concerning the application at the public hearing.</t>
  </si>
  <si>
    <t>Not later than the 35th day after the date the public hearing is held, the executive director will approve or deny the application for authorization to use the standard permit. The executive director must base the decision on whether the application meets the requirements of this standard permit. The executive director must consider all comments received during the public comment period and at the public hearing in determining whether to approve the application. If the executive director denies the application, the executive director must state the reasons for the denial and any modifications to the application necessary for the proposed plant to qualify for the authorization.</t>
  </si>
  <si>
    <t>The executive director will issue a written response to any public comments received related to the issuance of an authorization to use the standard permit at the same time as or as soon as practicable after the executive director grants or denies the application. Issuance of the response after the granting or denial of the application does not affect the validity of the executive director's decision to grant or deny the application. The executive director will:</t>
  </si>
  <si>
    <t>mail the response to each person who filed a comment; and</t>
  </si>
  <si>
    <t>make the response available to the public.</t>
  </si>
  <si>
    <t>Design and Operating Requirements</t>
  </si>
  <si>
    <t>Each cement/fly ash storage silo and weigh hopper must be equipped with a fabric or cartridge filter or vented to a fabric or cartridge filter system.</t>
  </si>
  <si>
    <t>Fabric or cartridge filters and collection systems must meet all of the following:</t>
  </si>
  <si>
    <t>each fabric filter or cartridge filter, and its associated collection system, and any suction shroud must be maintained and operated properly with no tears or leaks;</t>
  </si>
  <si>
    <t>excluding the suction shroud filter system, each filter system must be designed to meet an outlet grain-loading standard of at least 0.01 grains/dry standard cubic foot;</t>
  </si>
  <si>
    <t>each filter system and each mixer-loading and batch truck-loading emissions control device must meet a performance standard of no visible emissions exceeding 30 seconds in a five-minute period as determined using United States Environmental Protection Agency Test Method 22 as that method existed on September 1, 2003;</t>
  </si>
  <si>
    <t>if a cement or fly ash silo is filled during non-daylight hours, the silo filter system exhaust must be sufficiently illuminated to enable a determination of compliance with the performance standard described by (3)(B)(iii) of this permit;</t>
  </si>
  <si>
    <t>Conveying systems for the transfer of cement or fly ash must meet all of the following:</t>
  </si>
  <si>
    <t>the conveying system for the transfer of cement or fly ash to and from each storage silo must be totally enclosed, operated properly, and maintained without any tears or leaks; and</t>
  </si>
  <si>
    <t>except during cement or fly ash tanker connection or disconnection, each conveying system for the transfer of cement or fly ash must meet the performance standard described in paragraph (3)(B)(iii) of this permit.</t>
  </si>
  <si>
    <t>A warning device must be installed on each bulk storage silo.</t>
  </si>
  <si>
    <t>The warning device must be designed to alert the operator in sufficient time for the operator to stop loading operations before the silo is filled to a level that may adversely affect the pollution abatement equipment; and</t>
  </si>
  <si>
    <t>if filling a silo results in failure of the pollution abatement system or failure to meet the performance standard described by paragraph (3)(B)(iii) of this standard permit, the failure must be documented and reported to the commission following the requirements of 30 TAC § 101.201 or § 101.211, as appropriate.</t>
  </si>
  <si>
    <t>Each road, parking lot, or other area at the plant site that is used by vehicles must be paved with a cohesive hard surface that is properly maintained, cleaned, and watered so as to minimize dust emissions.</t>
  </si>
  <si>
    <t>Each stockpile must be sprinkled with water or dust-suppressant chemicals or covered so as to minimize dust emissions.</t>
  </si>
  <si>
    <t>Material used in the batch that is spilled must be immediately cleaned up and contained or dampened so as to minimize dust emissions.</t>
  </si>
  <si>
    <t>The production of concrete at the site must not exceed 300 cubic yards per hour.</t>
  </si>
  <si>
    <t>A suction shroud or other pickup device must be installed at the batch drop point or, in the case of a central mix plant, at the drum feed, and vented to a fabric or cartridge filter system with a minimum capacity of 5,000 cubic feet per minute of air.</t>
  </si>
  <si>
    <t>The bag filter and capture system must be properly designed to accommodate the increased flow from the suction shroud and achieve a control efficiency of at least 99.5 percent.</t>
  </si>
  <si>
    <t>The following distance limitations must be met:</t>
  </si>
  <si>
    <t>the suction shroud baghouse exhaust must be more than 100 feet from any property line;</t>
  </si>
  <si>
    <t>stationary equipment, stockpiles, and vehicles used at the plant, except for incidental traffic and vehicles as they enter and exit the site, must be located or operated more than 100 feet from any property line; and</t>
  </si>
  <si>
    <t>if the plant is located in an area that is not subject to municipal zoning regulation, the central baghouse must be located at least 440 yards from any building used as a single or multifamily residence, school, or place of worship at the time the standard permit registration is filed with the commission.</t>
  </si>
  <si>
    <t>In lieu of meeting the distance requirements for roads and stockpiles of (3)(K)(ii), the following must be followed:</t>
  </si>
  <si>
    <t>each road, parking lot, and other traffic area is bordered by dust-suppressing fencing or another barrier at least 12 feet high; and</t>
  </si>
  <si>
    <t>each stockpile located within the applicable distance of a property line is contained within a three-walled bunker that extends at least two feet above the top of the stockpile.</t>
  </si>
  <si>
    <t>End of workbook. Click here to return to Cover sheet.</t>
  </si>
  <si>
    <t>Version:</t>
  </si>
  <si>
    <t>6.0.0</t>
  </si>
  <si>
    <t>Created Date:</t>
  </si>
  <si>
    <t>Project Manager</t>
  </si>
  <si>
    <t>John-Paul LaLonde and Jordyn Winter</t>
  </si>
  <si>
    <t>Team Members</t>
  </si>
  <si>
    <t>Alexaner Hilla, Kristyn Jacher, Victor Gonzalez</t>
  </si>
  <si>
    <t>*Future Proof Note</t>
  </si>
  <si>
    <t>check links. Tables. 6004 &amp; 6008. County changes. Possible Public Works update in the Fall of 2023</t>
  </si>
  <si>
    <t xml:space="preserve">Attainment Update as of: </t>
  </si>
  <si>
    <t>Details:</t>
  </si>
  <si>
    <t>9/12/23 Updated 6004 changes and PIP + Standardization + CF Updated for 6004checklist and pi-1 tab</t>
  </si>
  <si>
    <t>control options for roads</t>
  </si>
  <si>
    <t>control options for stockpiles</t>
  </si>
  <si>
    <t>control options for batch mixer</t>
  </si>
  <si>
    <t>SIC</t>
  </si>
  <si>
    <t>Notice required?</t>
  </si>
  <si>
    <t>Fee required?</t>
  </si>
  <si>
    <t>Expedited fee</t>
  </si>
  <si>
    <t>60045A S options</t>
  </si>
  <si>
    <t>60045A options</t>
  </si>
  <si>
    <t>8G options</t>
  </si>
  <si>
    <t>TODAY() for PN</t>
  </si>
  <si>
    <t>Counties</t>
  </si>
  <si>
    <t>Regions</t>
  </si>
  <si>
    <t>Table 1 Setback (ft)</t>
  </si>
  <si>
    <t>Table 2 Setback (ft)</t>
  </si>
  <si>
    <t>Table 3 Setback (ft)</t>
  </si>
  <si>
    <t>Table 4 Setback (ft)</t>
  </si>
  <si>
    <t>Region</t>
  </si>
  <si>
    <t>Address</t>
  </si>
  <si>
    <t>Yes/No</t>
  </si>
  <si>
    <t>HGB NA Counties</t>
  </si>
  <si>
    <t>Temporary</t>
  </si>
  <si>
    <t>(i) Watering.</t>
  </si>
  <si>
    <t>Sprinkling with water</t>
  </si>
  <si>
    <t>Suction shroud or other pickup device delivering air to a fabric or cartridge filter</t>
  </si>
  <si>
    <t>3271: Concrete Block and Brick</t>
  </si>
  <si>
    <t>notice required for that project type?</t>
  </si>
  <si>
    <t>fee required for that project type</t>
  </si>
  <si>
    <t>Anderson</t>
  </si>
  <si>
    <t>Region 5</t>
  </si>
  <si>
    <t>Region 1</t>
  </si>
  <si>
    <t>3918 Canyon Dr., Amarillo, TX 79109-4933</t>
  </si>
  <si>
    <t>Brazoria</t>
  </si>
  <si>
    <t>Permanent</t>
  </si>
  <si>
    <t>(ii) Treated with dust-suppressant chemicals (as described in the application of aqueous detergents, surfactants, and other cleaning solutions in the de minimis list).</t>
  </si>
  <si>
    <t>Sprinkling with dust-suppressant chemicals</t>
  </si>
  <si>
    <t>Enclosed batch mixer feed</t>
  </si>
  <si>
    <t>3272: Concrete Products, Except Block and Brick</t>
  </si>
  <si>
    <t>waived because public works?</t>
  </si>
  <si>
    <t>Vented to fabric/cartridge filter</t>
  </si>
  <si>
    <t>Andrews</t>
  </si>
  <si>
    <t>Region 7</t>
  </si>
  <si>
    <t>Region 10</t>
  </si>
  <si>
    <t>3870 Eastex Fwy., Beaumont, TX 77703-1830</t>
  </si>
  <si>
    <t>Chambers</t>
  </si>
  <si>
    <t>(iii) Covered with a material such as, (but not limited to), roofing shingles or tire chips and used in combination with (i) Watering or (ii) Dust-suppressant chemicals.</t>
  </si>
  <si>
    <t>Covered</t>
  </si>
  <si>
    <t>Conducting the entire mixing operation inside an enclosed process building</t>
  </si>
  <si>
    <t>3273: Ready-Mixed Concrete</t>
  </si>
  <si>
    <t>summary</t>
  </si>
  <si>
    <t>Vented to central fabric/cartridge filter system</t>
  </si>
  <si>
    <t>Angelina</t>
  </si>
  <si>
    <t>Region 11</t>
  </si>
  <si>
    <t>P.O. Box 13087, Austin, TX 78711-3087. Overnight delivery: 12100 Park 35 Circle, Austin, TX 78753</t>
  </si>
  <si>
    <t>Fort Bend</t>
  </si>
  <si>
    <t>(iv) Paved with a cohesive hard surface that is maintained intact and cleaned.</t>
  </si>
  <si>
    <t>Vented inside the batch mixer</t>
  </si>
  <si>
    <t>(iv) the use of a tire-wash system or equivalent * (see rule for requirement details)</t>
  </si>
  <si>
    <t>Aransas</t>
  </si>
  <si>
    <t>Region 14</t>
  </si>
  <si>
    <t>Region 12</t>
  </si>
  <si>
    <t>5425 Polk St., Ste. H, Houston, TX 77023-1452</t>
  </si>
  <si>
    <t>Galveston</t>
  </si>
  <si>
    <t>Archer</t>
  </si>
  <si>
    <t>Region 3</t>
  </si>
  <si>
    <t>Region 13</t>
  </si>
  <si>
    <t>14250 Judson Rd., San Antonio, TX 78233-4480</t>
  </si>
  <si>
    <t>Harris</t>
  </si>
  <si>
    <t>(i) Watering</t>
  </si>
  <si>
    <t>Armstrong</t>
  </si>
  <si>
    <t>NRC Bldg., Ste. 1200, 6300 Ocean Dr., Unit 5839, Corpus Christi, TX 78412-5839</t>
  </si>
  <si>
    <t>Liberty</t>
  </si>
  <si>
    <t>Atascosa</t>
  </si>
  <si>
    <t>Region 15</t>
  </si>
  <si>
    <t>1804 W. Jefferson Ave., Harlingen, TX 78550-5247</t>
  </si>
  <si>
    <t>Montgomery</t>
  </si>
  <si>
    <t>Austin</t>
  </si>
  <si>
    <t>Region 16</t>
  </si>
  <si>
    <t>707 E. Calton Rd., Ste. 304, Laredo, TX 78041-3887</t>
  </si>
  <si>
    <t>Waller</t>
  </si>
  <si>
    <t>Bailey</t>
  </si>
  <si>
    <t>Region 2</t>
  </si>
  <si>
    <t>5012 50th St., Ste. 100, Lubbock, TX 79414-3426</t>
  </si>
  <si>
    <t>Bandera</t>
  </si>
  <si>
    <t>1977 Industrial Blvd., Abilene, TX 79602-7833</t>
  </si>
  <si>
    <t>Region 4</t>
  </si>
  <si>
    <t>2309 Gravel Dr., Fort Worth, TX 76118-6951</t>
  </si>
  <si>
    <t>Baylor</t>
  </si>
  <si>
    <t>2916 Teague Dr., Tyler, TX 75701-3734</t>
  </si>
  <si>
    <t>Bee</t>
  </si>
  <si>
    <t>Region 6</t>
  </si>
  <si>
    <t>401 E. Franklin Ave., Ste. 560, El Paso, TX 79901-1212</t>
  </si>
  <si>
    <t>Bell</t>
  </si>
  <si>
    <t>Region 9</t>
  </si>
  <si>
    <t>9900 W. IH-20, Ste. 100, Midland, TX 79706</t>
  </si>
  <si>
    <t>Bexar</t>
  </si>
  <si>
    <t>Region 8</t>
  </si>
  <si>
    <t>622 S. Oakes, Ste. K, San Angelo, TX 76903-7035</t>
  </si>
  <si>
    <t>Blanco</t>
  </si>
  <si>
    <t>6801 Sanger Ave., Ste. 2500, Waco, TX 76710-7826</t>
  </si>
  <si>
    <t>Borden</t>
  </si>
  <si>
    <t>Bosque</t>
  </si>
  <si>
    <t>Bowie</t>
  </si>
  <si>
    <t>Brazos</t>
  </si>
  <si>
    <t>Brewster</t>
  </si>
  <si>
    <t>Briscoe</t>
  </si>
  <si>
    <t>Brooks</t>
  </si>
  <si>
    <t>Updates Made for v5.3:</t>
  </si>
  <si>
    <t>Brown</t>
  </si>
  <si>
    <t>PM: Jordyn Winter</t>
  </si>
  <si>
    <t>Burleson</t>
  </si>
  <si>
    <t>Tester: Alexander Hilla (NSR = Mechanical Team</t>
  </si>
  <si>
    <t>Burnet</t>
  </si>
  <si>
    <t>Project Update Focus: Accessibility</t>
  </si>
  <si>
    <t>Caldwell</t>
  </si>
  <si>
    <t xml:space="preserve">Notes: For more context on changes/updates, see List of Accessibility Chnages for PI-1S-CBP located: </t>
  </si>
  <si>
    <t>Calhoun</t>
  </si>
  <si>
    <t>\\tceq4afesvr1\AAFS\OA\AIREveryone\APD Sections\Operational Support\Application Materials\WB\PI-1S-CBP\5v3\Posting Package</t>
  </si>
  <si>
    <t>Callahan</t>
  </si>
  <si>
    <t>Cameron</t>
  </si>
  <si>
    <t>Camp</t>
  </si>
  <si>
    <t>Carson</t>
  </si>
  <si>
    <t xml:space="preserve">Future Updates Ideas from Accessibility Update (3/2023) Tester (AH) </t>
  </si>
  <si>
    <t>Cass</t>
  </si>
  <si>
    <t>Location</t>
  </si>
  <si>
    <t>Comment</t>
  </si>
  <si>
    <t>Castro</t>
  </si>
  <si>
    <t>6004Checklist'!$E$29</t>
  </si>
  <si>
    <t>Could entering a value &lt;99.5 prompt an error message that "Minimum value must be greater than or equal to 99.5" or "This project does not meet the requirements of the Standard Permit." in the notes column</t>
  </si>
  <si>
    <t>6004Checklist'!$E$68</t>
  </si>
  <si>
    <t>Could entering a value &gt;300 prompt an error message that reads "Maximum value must be less than or equal to 300" or "This project does not meet the requirements of the Standard Permit." in the notes column</t>
  </si>
  <si>
    <t>Cherokee</t>
  </si>
  <si>
    <t>6004Checklist'!$E$69</t>
  </si>
  <si>
    <t>Same as above: less than or equal to 6,000</t>
  </si>
  <si>
    <t>Childress</t>
  </si>
  <si>
    <t>6004Checklist'!$E$70</t>
  </si>
  <si>
    <t>same as above: greater than or equal to 5,000</t>
  </si>
  <si>
    <t>Clay</t>
  </si>
  <si>
    <t>6004Checklist'!$E$72</t>
  </si>
  <si>
    <t>same as above: greater than or equal to 100</t>
  </si>
  <si>
    <t>Cochran</t>
  </si>
  <si>
    <t>6004Checklist'!$E$76</t>
  </si>
  <si>
    <t>Rows 76, 77, 78 could gray out if 73, 74, 75 are all greater than or equal to 50</t>
  </si>
  <si>
    <t>Coke</t>
  </si>
  <si>
    <t>6004Checklist'!$E$82</t>
  </si>
  <si>
    <t>Coleman</t>
  </si>
  <si>
    <t>6004Checklist'!$E$83</t>
  </si>
  <si>
    <t>Collin</t>
  </si>
  <si>
    <t>6004Checklist'!$E$100</t>
  </si>
  <si>
    <t>Could entering a value &gt;30 prompt an error message that reads "Maximum value must be less than or equal to 30" or "This project does not meet the requirements of the Standard Permit." in the notes column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</si>
  <si>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</si>
  <si>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</si>
  <si>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</si>
  <si>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</si>
  <si>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</si>
  <si>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</si>
  <si>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</si>
  <si>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</si>
  <si>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</si>
  <si>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</si>
  <si>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</si>
  <si>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</si>
  <si>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</si>
  <si>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</si>
  <si>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</si>
  <si>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</si>
  <si>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</si>
  <si>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</si>
  <si>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</si>
  <si>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</si>
  <si>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</si>
  <si>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</si>
  <si>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</si>
  <si>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</si>
  <si>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</si>
  <si>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</si>
  <si>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</si>
  <si>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</si>
  <si>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</si>
  <si>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</si>
  <si>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</si>
  <si>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</si>
  <si>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</si>
  <si>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</si>
  <si>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</si>
  <si>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Franklin</t>
  </si>
  <si>
    <t>Freestone</t>
  </si>
  <si>
    <t>Frio</t>
  </si>
  <si>
    <t>Gaines</t>
  </si>
  <si>
    <t>Garza</t>
  </si>
  <si>
    <t>Gillespie</t>
  </si>
  <si>
    <t>Glasscock</t>
  </si>
  <si>
    <t>Goliad</t>
  </si>
  <si>
    <t>Gonzales</t>
  </si>
  <si>
    <t>Gray</t>
  </si>
  <si>
    <t>Grayson</t>
  </si>
  <si>
    <t>Gregg</t>
  </si>
  <si>
    <t>Grimes</t>
  </si>
  <si>
    <t>Guadalupe</t>
  </si>
  <si>
    <t>Hale</t>
  </si>
  <si>
    <t>Hall</t>
  </si>
  <si>
    <t>Hamilton</t>
  </si>
  <si>
    <t>Hansford</t>
  </si>
  <si>
    <t xml:space="preserve">Region 1 </t>
  </si>
  <si>
    <t>Hardeman</t>
  </si>
  <si>
    <t>Hardin</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</si>
  <si>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</si>
  <si>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</si>
  <si>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</si>
  <si>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</si>
  <si>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</si>
  <si>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</si>
  <si>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</si>
  <si>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</si>
  <si>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</si>
  <si>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</si>
  <si>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</si>
  <si>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</si>
  <si>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</si>
  <si>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</si>
  <si>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</si>
  <si>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</si>
  <si>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</si>
  <si>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</si>
  <si>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</si>
  <si>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</si>
  <si>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</si>
  <si>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</si>
  <si>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</si>
  <si>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</si>
  <si>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</si>
  <si>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</si>
  <si>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</si>
  <si>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</si>
  <si>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</si>
  <si>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</si>
  <si>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</si>
  <si>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</si>
  <si>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</si>
  <si>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</si>
  <si>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</si>
  <si>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</si>
  <si>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</si>
  <si>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</si>
  <si>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</si>
  <si>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</si>
  <si>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</si>
  <si>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</si>
  <si>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</si>
  <si>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</si>
  <si>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</si>
  <si>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</si>
  <si>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</si>
  <si>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</si>
  <si>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</si>
  <si>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</si>
  <si>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</si>
  <si>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</si>
  <si>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</si>
  <si>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</si>
  <si>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</si>
  <si>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</si>
  <si>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</si>
  <si>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</si>
  <si>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</si>
  <si>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</si>
  <si>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</si>
  <si>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</si>
  <si>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</si>
  <si>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</si>
  <si>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</si>
  <si>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</si>
  <si>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</si>
  <si>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</si>
  <si>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</si>
  <si>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</si>
  <si>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</si>
  <si>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</si>
  <si>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</si>
  <si>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</si>
  <si>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</si>
  <si>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</si>
  <si>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</si>
  <si>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</si>
  <si>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</si>
  <si>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</si>
  <si>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</si>
  <si>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</si>
  <si>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</si>
  <si>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</si>
  <si>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</si>
  <si>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</si>
  <si>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</si>
  <si>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</si>
  <si>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</si>
  <si>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</si>
  <si>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</si>
  <si>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</si>
  <si>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</si>
  <si>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</si>
  <si>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</si>
  <si>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</si>
  <si>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</si>
  <si>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</si>
  <si>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</si>
  <si>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</si>
  <si>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</si>
  <si>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</si>
  <si>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</si>
  <si>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</si>
  <si>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</si>
  <si>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</si>
  <si>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</si>
  <si>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</si>
  <si>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</si>
  <si>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</si>
  <si>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</si>
  <si>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</si>
  <si>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</si>
  <si>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</si>
  <si>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</si>
  <si>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</si>
  <si>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</si>
  <si>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</si>
  <si>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</si>
  <si>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</si>
  <si>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</si>
  <si>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</si>
  <si>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</si>
  <si>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</si>
  <si>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</si>
  <si>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</si>
  <si>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</si>
  <si>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</si>
  <si>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</si>
  <si>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</si>
  <si>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</si>
  <si>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</si>
  <si>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</si>
  <si>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Ward</t>
  </si>
  <si>
    <t>Washington</t>
  </si>
  <si>
    <t>Webb</t>
  </si>
  <si>
    <t>Wharton</t>
  </si>
  <si>
    <t>Wheeler</t>
  </si>
  <si>
    <t>Wichita</t>
  </si>
  <si>
    <t>Wilbarger</t>
  </si>
  <si>
    <t>Willacy</t>
  </si>
  <si>
    <t>Williamson</t>
  </si>
  <si>
    <t>Wilson</t>
  </si>
  <si>
    <t>Winkler</t>
  </si>
  <si>
    <t>Wise</t>
  </si>
  <si>
    <t>Wood</t>
  </si>
  <si>
    <t>Yoakum</t>
  </si>
  <si>
    <t>Young</t>
  </si>
  <si>
    <t>Zapata</t>
  </si>
  <si>
    <t>Zavala</t>
  </si>
  <si>
    <t>Section 9</t>
  </si>
  <si>
    <r>
      <rPr>
        <sz val="11"/>
        <color rgb="FF000000"/>
        <rFont val="Arial"/>
        <family val="2"/>
      </rPr>
      <t>What is the total production rate of the multiple truck mix plants at a single site with enclosure? (yd</t>
    </r>
    <r>
      <rPr>
        <vertAlign val="superscript"/>
        <sz val="11"/>
        <color rgb="FF000000"/>
        <rFont val="Arial"/>
        <family val="2"/>
      </rPr>
      <t>3</t>
    </r>
    <r>
      <rPr>
        <sz val="11"/>
        <color rgb="FF000000"/>
        <rFont val="Arial"/>
        <family val="2"/>
      </rPr>
      <t>/hour)</t>
    </r>
  </si>
  <si>
    <t>What is the shortest setback distances, of all the multiple truck mix plants at a single site with enclosure? (ft)</t>
  </si>
  <si>
    <t>What is the setback distances of the central mix plants? (ft)</t>
  </si>
  <si>
    <t>grey if above is not yes</t>
  </si>
  <si>
    <r>
      <t>Production rates must be no more than the 60 yd</t>
    </r>
    <r>
      <rPr>
        <vertAlign val="superscript"/>
        <sz val="11"/>
        <rFont val="Arial"/>
        <family val="2"/>
      </rPr>
      <t>3</t>
    </r>
    <r>
      <rPr>
        <sz val="11"/>
        <rFont val="Arial"/>
        <family val="2"/>
      </rPr>
      <t>/hr limit.</t>
    </r>
  </si>
  <si>
    <r>
      <t>How many cubic yards per year will this plant produce? (yd</t>
    </r>
    <r>
      <rPr>
        <vertAlign val="superscript"/>
        <sz val="11"/>
        <rFont val="Arial"/>
        <family val="2"/>
      </rPr>
      <t>3</t>
    </r>
    <r>
      <rPr>
        <sz val="11"/>
        <rFont val="Arial"/>
        <family val="2"/>
      </rPr>
      <t>/yr)</t>
    </r>
  </si>
  <si>
    <r>
      <t>What is the production rates of the central mix plants? (yd</t>
    </r>
    <r>
      <rPr>
        <vertAlign val="superscript"/>
        <sz val="11"/>
        <color rgb="FF000000"/>
        <rFont val="Arial"/>
        <family val="2"/>
      </rPr>
      <t>3</t>
    </r>
    <r>
      <rPr>
        <sz val="11"/>
        <color rgb="FF000000"/>
        <rFont val="Arial"/>
        <family val="2"/>
      </rPr>
      <t>/hr)</t>
    </r>
  </si>
  <si>
    <r>
      <t>How many cubic yards per hour will this plant produce? (yd</t>
    </r>
    <r>
      <rPr>
        <vertAlign val="superscript"/>
        <sz val="11"/>
        <rFont val="Arial"/>
        <family val="2"/>
      </rPr>
      <t>3</t>
    </r>
    <r>
      <rPr>
        <sz val="11"/>
        <rFont val="Arial"/>
        <family val="2"/>
      </rPr>
      <t>/hr)</t>
    </r>
  </si>
  <si>
    <r>
      <t>Concrete batch plants are limited to a maximum of 200 cubic yards per hour (yd</t>
    </r>
    <r>
      <rPr>
        <vertAlign val="superscript"/>
        <sz val="11"/>
        <rFont val="Arial"/>
        <family val="2"/>
      </rPr>
      <t>3</t>
    </r>
    <r>
      <rPr>
        <sz val="11"/>
        <rFont val="Arial"/>
        <family val="2"/>
      </rPr>
      <t>/hr for single mixing operations or 300 cubic yards per hour (yd</t>
    </r>
    <r>
      <rPr>
        <vertAlign val="superscript"/>
        <sz val="11"/>
        <rFont val="Arial"/>
        <family val="2"/>
      </rPr>
      <t>3</t>
    </r>
    <r>
      <rPr>
        <sz val="11"/>
        <rFont val="Arial"/>
        <family val="2"/>
      </rPr>
      <t>/hr) for multiple/truck mixing operations.</t>
    </r>
  </si>
  <si>
    <t>To Submit:</t>
  </si>
  <si>
    <t>To Submit Other Application Materials:</t>
  </si>
  <si>
    <t>Create Headers:</t>
  </si>
  <si>
    <t>Printing Tips:</t>
  </si>
  <si>
    <t>1. Right-click one of the workbook's sheet tabs and "Select All Sheets."
2. Enter the "Page Layout View" by using the navigation ribbon's View &gt; Workbook Views &gt; Page Layout, or by clicking the page layout icon in the lower-left corner of Excel.
3. Add the date, registration number (if known), and company name to the upper-right header. Use a second line if the company name is more than 30 characters.</t>
  </si>
  <si>
    <t>Types of Standard Permit Registrations Included:</t>
  </si>
  <si>
    <t>Types of Standard Permit Registration Actions Included:</t>
  </si>
  <si>
    <r>
      <t xml:space="preserve">1. Complete all required sections leaving no blanks unless the question is optional. You may use the "tab" button or the arrow
 keys to move to the next available cell. Use "enter" to move down a line. Note: dropdowns are case-sensitive.
2. Sections of the workbook which are not applicable for this project will be blocked out as data is entered. Note: if you can see
 the sheet title, there are questions applicable to your project on that sheet.
3. Follow the directions below to create the required workbook header.
4. </t>
    </r>
    <r>
      <rPr>
        <b/>
        <sz val="11"/>
        <color rgb="FFC0504D"/>
        <rFont val="Arial"/>
        <family val="2"/>
      </rPr>
      <t>Submittal through STEERS is required as of January 1, 2021.</t>
    </r>
    <r>
      <rPr>
        <sz val="11"/>
        <color rgb="FF000000"/>
        <rFont val="Arial"/>
        <family val="2"/>
      </rPr>
      <t xml:space="preserve"> When submitting through STEERS:
 A. An original signature is not needed.
 B. The system notifies the appropriate regional office and local program of the application materials. You do not need to send them anything submitted through STEERS.
 C. You do still need a hard copy for the public place if notice is required.
 D. You can submit attachments with the STEERS submittal.
 E. Confidential information can be submitted without encryption.</t>
    </r>
  </si>
  <si>
    <t>Effective Date January 24, 2024</t>
  </si>
  <si>
    <t>removed renewals for this row</t>
  </si>
  <si>
    <t>=IF(OR($C$6="Specialty",$C$6="Permanent", $C$22="Yes"),1,0)</t>
  </si>
  <si>
    <t>disable CF - review for 6.1</t>
  </si>
  <si>
    <t>=IF(OR($C$6="Specialty",$C$6="Permanent"),1,0)</t>
  </si>
  <si>
    <t>=IF('PI-1S-CBP'!B10="Renewal",1,0)</t>
  </si>
  <si>
    <r>
      <t xml:space="preserve">This workbook is a tool available for concrete batch plant standard permit registrations to streamline the review process. This workbook can be used for a </t>
    </r>
    <r>
      <rPr>
        <b/>
        <sz val="11"/>
        <color rgb="FFC0504D"/>
        <rFont val="Arial"/>
        <family val="2"/>
      </rPr>
      <t>2024</t>
    </r>
    <r>
      <rPr>
        <sz val="11"/>
        <rFont val="Arial"/>
        <family val="2"/>
      </rPr>
      <t xml:space="preserve"> </t>
    </r>
    <r>
      <rPr>
        <b/>
        <sz val="11"/>
        <color rgb="FFC0504D"/>
        <rFont val="Arial"/>
        <family val="2"/>
      </rPr>
      <t>Concrete Batch Plants Standard Permit</t>
    </r>
    <r>
      <rPr>
        <sz val="11"/>
        <rFont val="Arial"/>
        <family val="2"/>
      </rPr>
      <t xml:space="preserve"> (CBSP) 6004 or for a </t>
    </r>
    <r>
      <rPr>
        <b/>
        <sz val="11"/>
        <color rgb="FFC0504D"/>
        <rFont val="Arial"/>
        <family val="2"/>
      </rPr>
      <t>Concrete Batch Plants with Enhanced Controls Standard Permit</t>
    </r>
    <r>
      <rPr>
        <sz val="11"/>
        <rFont val="Arial"/>
        <family val="2"/>
      </rPr>
      <t xml:space="preserve"> (CBPSPEC) 6008.
The January 24, 2024 amendments to the CBPSP apply to registrations issued on or after January 24, 2024.  These would include CBPSP for facilities that are </t>
    </r>
    <r>
      <rPr>
        <b/>
        <sz val="11"/>
        <color rgb="FFC0504D"/>
        <rFont val="Arial"/>
        <family val="2"/>
      </rPr>
      <t xml:space="preserve">new/initial, amended, </t>
    </r>
    <r>
      <rPr>
        <sz val="11"/>
        <rFont val="Arial"/>
        <family val="2"/>
      </rPr>
      <t>and</t>
    </r>
    <r>
      <rPr>
        <b/>
        <sz val="11"/>
        <color rgb="FFC0504D"/>
        <rFont val="Arial"/>
        <family val="2"/>
      </rPr>
      <t xml:space="preserve"> renewals opting to authorize under the 2024 CBPSP rules.</t>
    </r>
    <r>
      <rPr>
        <sz val="11"/>
        <rFont val="Arial"/>
        <family val="2"/>
      </rPr>
      <t xml:space="preserve">
Facilities applying to register for a CBPSP in compliance with the new 2024 CBPSP amendment will continue to use the version </t>
    </r>
    <r>
      <rPr>
        <b/>
        <sz val="11"/>
        <color rgb="FFC0504D"/>
        <rFont val="Arial"/>
        <family val="2"/>
      </rPr>
      <t>(6.0)</t>
    </r>
    <r>
      <rPr>
        <sz val="11"/>
        <rFont val="Arial"/>
        <family val="2"/>
      </rPr>
      <t xml:space="preserve"> of the workbook. 
Facilities applying to register for a CBPSPEC will continue to use the version </t>
    </r>
    <r>
      <rPr>
        <b/>
        <sz val="11"/>
        <color rgb="FFC0504D"/>
        <rFont val="Arial"/>
        <family val="2"/>
      </rPr>
      <t>6.0</t>
    </r>
    <r>
      <rPr>
        <sz val="11"/>
        <rFont val="Arial"/>
        <family val="2"/>
      </rPr>
      <t xml:space="preserve"> of the workbook.
Renewals shall comply with the CBPSP on the later of: (i) Two years from the effective date; or (ii) the date the facility’s registration is renewed. CBPSP holders that have a renewal date prior to January 24, 2026 have the option to renew under the updated requirements or under the previous rule (Effective Date September 22, 2021).
Please be advised that </t>
    </r>
    <r>
      <rPr>
        <b/>
        <sz val="11"/>
        <color rgb="FFC0504D"/>
        <rFont val="Arial"/>
        <family val="2"/>
      </rPr>
      <t>renewing under the previous CBPSP rule will only authorize operations for the facility until January 24, 2026.</t>
    </r>
    <r>
      <rPr>
        <sz val="11"/>
        <rFont val="Arial"/>
        <family val="2"/>
      </rPr>
      <t xml:space="preserve">  Applicants will be notified approximately 6 months prior to the aforementioned date to renew said permit under the updated requirement.
Facilities applying for a </t>
    </r>
    <r>
      <rPr>
        <b/>
        <sz val="11"/>
        <color rgb="FFC0504D"/>
        <rFont val="Arial"/>
        <family val="2"/>
      </rPr>
      <t>renewal</t>
    </r>
    <r>
      <rPr>
        <sz val="11"/>
        <rFont val="Arial"/>
        <family val="2"/>
      </rPr>
      <t xml:space="preserve"> under the previous CBPSP rule will use the modified version </t>
    </r>
    <r>
      <rPr>
        <b/>
        <sz val="11"/>
        <color rgb="FFC0504D"/>
        <rFont val="Arial"/>
        <family val="2"/>
      </rPr>
      <t>(5.2)</t>
    </r>
    <r>
      <rPr>
        <sz val="11"/>
        <rFont val="Arial"/>
        <family val="2"/>
      </rPr>
      <t xml:space="preserve"> of the workbook. Version 5.2 can be found online along with version 6.0.
Check our website to be sure you </t>
    </r>
    <r>
      <rPr>
        <b/>
        <sz val="11"/>
        <color rgb="FFC0504D"/>
        <rFont val="Arial"/>
        <family val="2"/>
      </rPr>
      <t>use the latest version of the workbook</t>
    </r>
    <r>
      <rPr>
        <sz val="11"/>
        <rFont val="Arial"/>
        <family val="2"/>
      </rPr>
      <t xml:space="preserve"> for all the features and accurate information.
</t>
    </r>
    <r>
      <rPr>
        <b/>
        <sz val="11"/>
        <color rgb="FFC0504D"/>
        <rFont val="Arial"/>
        <family val="2"/>
      </rPr>
      <t>Complete the workbook in order of the sheets.</t>
    </r>
    <r>
      <rPr>
        <b/>
        <sz val="11"/>
        <rFont val="Arial"/>
        <family val="2"/>
      </rPr>
      <t xml:space="preserve"> </t>
    </r>
    <r>
      <rPr>
        <sz val="11"/>
        <rFont val="Arial"/>
        <family val="2"/>
      </rPr>
      <t xml:space="preserve">Responses and data entered on previous sheets are used throughout the following sheets.
Accessibility Disclaimer: This workbook contains intentionally blank cells.
</t>
    </r>
  </si>
  <si>
    <r>
      <t xml:space="preserve">This sheet provides administrative information needed by the TCEQ.
</t>
    </r>
    <r>
      <rPr>
        <b/>
        <sz val="11"/>
        <color theme="1"/>
        <rFont val="Arial"/>
        <family val="2"/>
      </rPr>
      <t xml:space="preserve">
Instructions:
</t>
    </r>
    <r>
      <rPr>
        <sz val="11"/>
        <color theme="1"/>
        <rFont val="Arial"/>
        <family val="2"/>
      </rPr>
      <t xml:space="preserve">1. Complete all applicable sections below.
Facilities in compliance with the new 2024 CBPSP amendment will continue to use this version (6.0) of the workbook.
Facilities applying for a renewal under the previous CBPSP rule will use the modified version (5.2) of the workbook. </t>
    </r>
  </si>
  <si>
    <t>=IF(OR(B110="Temporary",B110="Specialty"),0,IF(AND($B$10&lt;&gt;"", $B$10&lt;&gt;"Initial", $B$10&lt;&gt;"Initial (move to new location)",$B$10&lt;&gt;"Change of Representations"),1,0))</t>
  </si>
  <si>
    <t>CF Disable - review in 6.1</t>
  </si>
  <si>
    <r>
      <rPr>
        <b/>
        <sz val="11"/>
        <color rgb="FFC0504D"/>
        <rFont val="Arial"/>
        <family val="2"/>
      </rPr>
      <t>All application attachments must be submitted electronically through STEERS or FTPS. Hard copy courtesy copies of the entire file are not needed by APD. Here are some tips:</t>
    </r>
    <r>
      <rPr>
        <b/>
        <sz val="11"/>
        <rFont val="Arial"/>
        <family val="2"/>
      </rPr>
      <t xml:space="preserve">
</t>
    </r>
    <r>
      <rPr>
        <sz val="11"/>
        <rFont val="Arial"/>
        <family val="2"/>
      </rPr>
      <t xml:space="preserve">1. You must submit all application attachments through STEERS as part of your ePermit application unless:
 a) the file size of an attachment exceeds 50 MB, or
 b) the file type is not accepted (accepted file types are xls, xlsm, txt, pdf, doc, docx, wpd, csv, xml, jpg, gif, tif, and jpeg).
2. Submit all workbook files as an electronic workbook (such as Excel) with all formulas viewable for review (rather than a PDF, for example).
3. If the attachment cannot be submitted through STEERS for one of the reasons listed above, submit through email or TCEQ FTPS. If using the FTPS, you will share the files with APIRT@tceq.texas.gov for the initial submittal. Once your project has been assigned, you will share files directly with your reviewer.
4. Do not submit hard copy originals.
5. </t>
    </r>
    <r>
      <rPr>
        <b/>
        <sz val="11"/>
        <color rgb="FFC0504D"/>
        <rFont val="Arial"/>
        <family val="2"/>
      </rPr>
      <t>Confidential files</t>
    </r>
    <r>
      <rPr>
        <sz val="11"/>
        <rFont val="Arial"/>
        <family val="2"/>
      </rPr>
      <t xml:space="preserve"> should be submitted through STEERS or the TCEQ FTPS. All pages must be marked confidential and have confidential in the file name. Confidential submittals must be separate from non-confidential application materials. Emails sent to the agency are not encryption protected via Secure Sockets Layers by our server and may be subject to interception by common third-party internet tools. Anything marked as confidential will be treated as such by APD staff upon receipt.
See the below link for additional information about submitting via FTPS:</t>
    </r>
  </si>
  <si>
    <r>
      <rPr>
        <b/>
        <sz val="11"/>
        <color rgb="FFC0504D"/>
        <rFont val="Arial"/>
        <family val="2"/>
      </rPr>
      <t>While APD does not need a hard copy of this workbook, you will need to print it for public access if notice is required and for sending application updates to the regional offices and local programs.</t>
    </r>
    <r>
      <rPr>
        <sz val="11"/>
        <rFont val="Arial"/>
        <family val="2"/>
      </rPr>
      <t xml:space="preserve">
1. Do not print any sheets or pages without data entry.
2. The default printing setup for each sheet in the workbook is set for all columns on one sheet of paper. This will make the printout easier to review for future reference. We have also set the print areas to not include the instructions on each sheet.
3. You have access to change all printing settings to fit your needs and printed font size. Some common options include:
 -Change what area you are printing (whole active sheet or a selection);
 -Change the orientation (portrait or landscape);
 -Change the margin size;
 -Change the scaling (all columns on one sheet, full size, your own custom selection, etc.).</t>
    </r>
  </si>
  <si>
    <t>Any other applicable state or federal regulation for stationary compression ignition internal combustion engines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</si>
</sst>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quot;$&quot;#,##0.00_);[Red]\(&quot;$&quot;#,##0.00\)"/>
    <numFmt numFmtId="44" formatCode="_(&quot;$&quot;* #,##0.00_);_(&quot;$&quot;* \(#,##0.00\);_(&quot;$&quot;* &quot;-&quot;??_);_(@_)"/>
    <numFmt numFmtId="43" formatCode="_(* #,##0.00_);_(* \(#,##0.00\);_(* &quot;-&quot;??_);_(@_)"/>
    <numFmt numFmtId="164" formatCode="[&lt;=9999999]###\-####;\(###\)\ ###\-####"/>
    <numFmt numFmtId="165" formatCode="00000"/>
  </numFmts>
  <fonts count="50" x14ac:knownFonts="1">
    <font>
      <sz val="10"/>
      <color rgb="FF000000"/>
      <name val="Arial"/>
      <family val="2"/>
    </font>
    <font>
      <sz val="11"/>
      <color theme="1"/>
      <name val="Arial"/>
      <family val="2"/>
    </font>
    <font>
      <sz val="10"/>
      <color theme="1"/>
      <name val="Arial"/>
      <family val="2"/>
    </font>
    <font>
      <sz val="11"/>
      <color rgb="FF000000"/>
      <name val="Arial"/>
      <family val="2"/>
    </font>
    <font>
      <b/>
      <sz val="11"/>
      <name val="Arial"/>
      <family val="2"/>
    </font>
    <font>
      <b/>
      <sz val="11"/>
      <color rgb="FF000000"/>
      <name val="Arial"/>
      <family val="2"/>
    </font>
    <font>
      <sz val="10"/>
      <color rgb="FF000000"/>
      <name val="Times New Roman"/>
      <family val="1"/>
    </font>
    <font>
      <b/>
      <sz val="10"/>
      <name val="Arial"/>
      <family val="2"/>
    </font>
    <font>
      <sz val="11"/>
      <color theme="0"/>
      <name val="Arial"/>
      <family val="2"/>
    </font>
    <font>
      <sz val="10"/>
      <color theme="0"/>
      <name val="Arial"/>
      <family val="2"/>
    </font>
    <font>
      <sz val="10"/>
      <color rgb="FF000000"/>
      <name val="Arial"/>
      <family val="2"/>
    </font>
    <font>
      <sz val="1"/>
      <color theme="0"/>
      <name val="Arial"/>
      <family val="2"/>
    </font>
    <font>
      <b/>
      <sz val="11"/>
      <color theme="1"/>
      <name val="Arial"/>
      <family val="2"/>
    </font>
    <font>
      <b/>
      <sz val="14"/>
      <color theme="1"/>
      <name val="Arial"/>
      <family val="2"/>
    </font>
    <font>
      <b/>
      <sz val="14"/>
      <name val="Arial"/>
      <family val="2"/>
    </font>
    <font>
      <b/>
      <sz val="14"/>
      <color rgb="FF000000"/>
      <name val="Arial"/>
      <family val="2"/>
    </font>
    <font>
      <i/>
      <sz val="11"/>
      <color theme="1"/>
      <name val="Arial"/>
      <family val="2"/>
    </font>
    <font>
      <sz val="11"/>
      <name val="Arial"/>
      <family val="2"/>
    </font>
    <font>
      <b/>
      <i/>
      <sz val="11"/>
      <color theme="1"/>
      <name val="Arial"/>
      <family val="2"/>
    </font>
    <font>
      <sz val="11"/>
      <color theme="1"/>
      <name val="Calibri"/>
      <family val="2"/>
    </font>
    <font>
      <b/>
      <sz val="11"/>
      <color theme="5"/>
      <name val="Arial"/>
      <family val="2"/>
    </font>
    <font>
      <u/>
      <sz val="11"/>
      <color theme="10"/>
      <name val="Arial"/>
      <family val="2"/>
    </font>
    <font>
      <b/>
      <sz val="11"/>
      <color theme="0"/>
      <name val="Arial"/>
      <family val="2"/>
    </font>
    <font>
      <vertAlign val="superscript"/>
      <sz val="11"/>
      <color rgb="FF000000"/>
      <name val="Arial"/>
      <family val="2"/>
    </font>
    <font>
      <b/>
      <sz val="11"/>
      <color rgb="FFC00000"/>
      <name val="Arial"/>
      <family val="2"/>
    </font>
    <font>
      <sz val="10"/>
      <color rgb="FFFF0000"/>
      <name val="Arial"/>
      <family val="2"/>
    </font>
    <font>
      <b/>
      <u/>
      <sz val="11"/>
      <color rgb="FF000000"/>
      <name val="Arial"/>
      <family val="2"/>
    </font>
    <font>
      <sz val="11"/>
      <color rgb="FFFF0000"/>
      <name val="Arial"/>
      <family val="2"/>
    </font>
    <font>
      <b/>
      <sz val="12"/>
      <color rgb="FF000000"/>
      <name val="Arial"/>
      <family val="2"/>
    </font>
    <font>
      <sz val="12"/>
      <name val="Arial"/>
      <family val="2"/>
    </font>
    <font>
      <i/>
      <sz val="12"/>
      <color rgb="FF000000"/>
      <name val="Arial"/>
      <family val="2"/>
    </font>
    <font>
      <b/>
      <sz val="11"/>
      <color rgb="FFFF0000"/>
      <name val="Arial"/>
      <family val="2"/>
    </font>
    <font>
      <b/>
      <u/>
      <sz val="10"/>
      <color rgb="FF000000"/>
      <name val="Arial"/>
      <family val="2"/>
    </font>
    <font>
      <u/>
      <sz val="10"/>
      <color rgb="FF000000"/>
      <name val="Arial"/>
      <family val="2"/>
    </font>
    <font>
      <b/>
      <sz val="12"/>
      <name val="Arial"/>
      <family val="2"/>
    </font>
    <font>
      <sz val="10"/>
      <name val="Arial"/>
      <family val="2"/>
    </font>
    <font>
      <b/>
      <sz val="10"/>
      <color rgb="FF000000"/>
      <name val="Arial"/>
      <family val="2"/>
      <charset val="1"/>
    </font>
    <font>
      <sz val="10"/>
      <color rgb="FF000000"/>
      <name val="Arial"/>
      <family val="2"/>
      <charset val="1"/>
    </font>
    <font>
      <strike/>
      <sz val="10"/>
      <color rgb="FF000000"/>
      <name val="Arial"/>
      <family val="2"/>
    </font>
    <font>
      <sz val="11"/>
      <color rgb="FF444444"/>
      <name val="Consolas"/>
      <family val="3"/>
    </font>
    <font>
      <vertAlign val="superscript"/>
      <sz val="11"/>
      <name val="Arial"/>
      <family val="2"/>
    </font>
    <font>
      <strike/>
      <sz val="11"/>
      <name val="Arial"/>
      <family val="2"/>
    </font>
    <font>
      <b/>
      <sz val="10"/>
      <color rgb="FF000000"/>
      <name val="Arial"/>
      <family val="2"/>
    </font>
    <font>
      <b/>
      <vertAlign val="superscript"/>
      <sz val="12"/>
      <name val="Arial"/>
      <family val="2"/>
    </font>
    <font>
      <vertAlign val="superscript"/>
      <sz val="12"/>
      <name val="Arial"/>
      <family val="2"/>
    </font>
    <font>
      <sz val="12"/>
      <color theme="0"/>
      <name val="Arial"/>
      <family val="2"/>
    </font>
    <font>
      <sz val="11"/>
      <color rgb="FF000000"/>
      <name val="Arial"/>
      <family val="2"/>
    </font>
    <font>
      <vertAlign val="subscript"/>
      <sz val="11"/>
      <color rgb="FF000000"/>
      <name val="Arial"/>
      <family val="2"/>
    </font>
    <font>
      <sz val="8"/>
      <name val="Arial"/>
      <family val="2"/>
    </font>
    <font>
      <b/>
      <sz val="11"/>
      <color rgb="FFC0504D"/>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CFFDC"/>
        <bgColor indexed="64"/>
      </patternFill>
    </fill>
    <fill>
      <patternFill patternType="solid">
        <fgColor rgb="FFDCDCFF"/>
        <bgColor indexed="64"/>
      </patternFill>
    </fill>
    <fill>
      <patternFill patternType="solid">
        <fgColor rgb="FF00B0F0"/>
        <bgColor indexed="64"/>
      </patternFill>
    </fill>
    <fill>
      <patternFill patternType="solid">
        <fgColor rgb="FFD9D9D9"/>
        <bgColor indexed="64"/>
      </patternFill>
    </fill>
    <fill>
      <patternFill patternType="solid">
        <fgColor rgb="FFFFFFCC"/>
        <bgColor indexed="64"/>
      </patternFill>
    </fill>
    <fill>
      <patternFill patternType="solid">
        <fgColor theme="8" tint="0.59999389629810485"/>
        <bgColor indexed="64"/>
      </patternFill>
    </fill>
    <fill>
      <patternFill patternType="solid">
        <fgColor rgb="FFD9E2F3"/>
        <bgColor indexed="64"/>
      </patternFill>
    </fill>
    <fill>
      <patternFill patternType="solid">
        <fgColor rgb="FFFFFFCC"/>
        <bgColor theme="0" tint="-0.14999847407452621"/>
      </patternFill>
    </fill>
  </fills>
  <borders count="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indexed="64"/>
      </bottom>
      <diagonal/>
    </border>
    <border>
      <left style="medium">
        <color rgb="FF000000"/>
      </left>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s>
  <cellStyleXfs count="5">
    <xf numFmtId="0" fontId="0" fillId="0" borderId="0"/>
    <xf numFmtId="0" fontId="21"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 fillId="0" borderId="1">
      <alignment horizontal="left" vertical="top" wrapText="1"/>
    </xf>
  </cellStyleXfs>
  <cellXfs count="934">
    <xf numFmtId="0" fontId="0" fillId="0" borderId="0" xfId="0"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vertical="center"/>
    </xf>
    <xf numFmtId="0" fontId="0" fillId="0" borderId="0" xfId="0"/>
    <xf numFmtId="0" fontId="0" fillId="8" borderId="51" xfId="0" applyFill="1" applyBorder="1" applyAlignment="1">
      <alignment horizontal="left" vertical="top"/>
    </xf>
    <xf numFmtId="0" fontId="0" fillId="8" borderId="3" xfId="0" applyFill="1" applyBorder="1" applyAlignment="1">
      <alignment horizontal="left" vertical="top"/>
    </xf>
    <xf numFmtId="0" fontId="10" fillId="4" borderId="53" xfId="0" applyFont="1" applyFill="1" applyBorder="1" applyAlignment="1">
      <alignment horizontal="left" vertical="top"/>
    </xf>
    <xf numFmtId="0" fontId="10" fillId="4" borderId="57" xfId="0" applyFont="1" applyFill="1" applyBorder="1" applyAlignment="1">
      <alignment horizontal="left" vertical="top"/>
    </xf>
    <xf numFmtId="0" fontId="10" fillId="5" borderId="53" xfId="0" applyFont="1" applyFill="1" applyBorder="1" applyAlignment="1">
      <alignment horizontal="left" vertical="top"/>
    </xf>
    <xf numFmtId="0" fontId="0" fillId="5" borderId="53" xfId="0" applyFill="1" applyBorder="1" applyAlignment="1">
      <alignment horizontal="left" vertical="top"/>
    </xf>
    <xf numFmtId="0" fontId="10" fillId="5" borderId="35" xfId="0" applyFont="1" applyFill="1" applyBorder="1" applyAlignment="1">
      <alignment horizontal="left" vertical="top"/>
    </xf>
    <xf numFmtId="0" fontId="10" fillId="5" borderId="50" xfId="0" applyFont="1" applyFill="1" applyBorder="1" applyAlignment="1">
      <alignment horizontal="left" vertical="top"/>
    </xf>
    <xf numFmtId="0" fontId="10" fillId="5" borderId="57" xfId="0" applyFont="1" applyFill="1" applyBorder="1" applyAlignment="1">
      <alignment horizontal="left" vertical="top"/>
    </xf>
    <xf numFmtId="0" fontId="10" fillId="9" borderId="53" xfId="0" applyFont="1" applyFill="1" applyBorder="1" applyAlignment="1">
      <alignment horizontal="left" vertical="top"/>
    </xf>
    <xf numFmtId="0" fontId="10" fillId="9" borderId="35" xfId="0" applyFont="1" applyFill="1" applyBorder="1" applyAlignment="1">
      <alignment horizontal="left" vertical="top"/>
    </xf>
    <xf numFmtId="0" fontId="10" fillId="9" borderId="50" xfId="0" applyFont="1" applyFill="1" applyBorder="1" applyAlignment="1">
      <alignment horizontal="left" vertical="top"/>
    </xf>
    <xf numFmtId="0" fontId="0" fillId="9" borderId="35" xfId="0" applyFill="1" applyBorder="1" applyAlignment="1">
      <alignment horizontal="left" vertical="top"/>
    </xf>
    <xf numFmtId="0" fontId="0" fillId="0" borderId="0" xfId="0" applyAlignment="1">
      <alignment horizontal="left" vertical="top" wrapText="1"/>
    </xf>
    <xf numFmtId="0" fontId="3" fillId="8" borderId="61" xfId="0" applyFont="1" applyFill="1" applyBorder="1" applyAlignment="1" applyProtection="1">
      <alignment horizontal="left" vertical="top" wrapText="1"/>
      <protection locked="0"/>
    </xf>
    <xf numFmtId="0" fontId="3" fillId="8" borderId="61" xfId="0" applyFont="1" applyFill="1" applyBorder="1" applyAlignment="1" applyProtection="1">
      <alignment horizontal="left" vertical="center" wrapText="1"/>
      <protection locked="0"/>
    </xf>
    <xf numFmtId="0" fontId="3" fillId="8" borderId="29" xfId="0" applyFont="1" applyFill="1" applyBorder="1" applyAlignment="1" applyProtection="1">
      <alignment horizontal="left" vertical="center" wrapText="1"/>
      <protection locked="0"/>
    </xf>
    <xf numFmtId="0" fontId="0" fillId="0" borderId="0" xfId="0" applyAlignment="1">
      <alignment horizontal="left"/>
    </xf>
    <xf numFmtId="0" fontId="15" fillId="2" borderId="33" xfId="0" applyFont="1" applyFill="1" applyBorder="1" applyAlignment="1">
      <alignment horizontal="center" vertical="center" wrapText="1"/>
    </xf>
    <xf numFmtId="0" fontId="3" fillId="0" borderId="33" xfId="0" applyFont="1" applyBorder="1" applyAlignment="1">
      <alignment horizontal="left" vertical="top" wrapText="1"/>
    </xf>
    <xf numFmtId="0" fontId="3" fillId="8" borderId="29" xfId="0" applyFont="1" applyFill="1" applyBorder="1" applyAlignment="1" applyProtection="1">
      <alignment horizontal="left" vertical="top" wrapText="1"/>
      <protection locked="0"/>
    </xf>
    <xf numFmtId="0" fontId="3" fillId="8" borderId="46" xfId="0" applyFont="1" applyFill="1" applyBorder="1" applyAlignment="1" applyProtection="1">
      <alignment horizontal="left" vertical="top" wrapText="1"/>
      <protection locked="0"/>
    </xf>
    <xf numFmtId="0" fontId="3" fillId="0" borderId="1" xfId="0" applyFont="1" applyBorder="1" applyAlignment="1">
      <alignment horizontal="left" vertical="top" wrapText="1"/>
    </xf>
    <xf numFmtId="0" fontId="3" fillId="8" borderId="2" xfId="0" applyFont="1" applyFill="1" applyBorder="1" applyAlignment="1" applyProtection="1">
      <alignment horizontal="left" vertical="top" wrapText="1"/>
      <protection locked="0"/>
    </xf>
    <xf numFmtId="0" fontId="3" fillId="0" borderId="49" xfId="0" applyFont="1" applyBorder="1" applyAlignment="1">
      <alignment horizontal="left" vertical="top" wrapText="1"/>
    </xf>
    <xf numFmtId="0" fontId="3" fillId="0" borderId="56" xfId="0" applyFont="1" applyBorder="1" applyAlignment="1">
      <alignment horizontal="left" vertical="top" wrapText="1"/>
    </xf>
    <xf numFmtId="0" fontId="0" fillId="0" borderId="0" xfId="0" applyAlignment="1">
      <alignment vertical="top"/>
    </xf>
    <xf numFmtId="0" fontId="0" fillId="0" borderId="0" xfId="0" applyAlignment="1">
      <alignment vertical="top" wrapText="1"/>
    </xf>
    <xf numFmtId="0" fontId="3" fillId="8" borderId="59" xfId="0" applyFont="1" applyFill="1" applyBorder="1" applyAlignment="1" applyProtection="1">
      <alignment vertical="top" wrapText="1"/>
      <protection locked="0"/>
    </xf>
    <xf numFmtId="0" fontId="3" fillId="8" borderId="61" xfId="0" applyFont="1" applyFill="1" applyBorder="1" applyAlignment="1" applyProtection="1">
      <alignment vertical="top" wrapText="1"/>
      <protection locked="0"/>
    </xf>
    <xf numFmtId="0" fontId="15" fillId="2" borderId="60" xfId="0" applyFont="1" applyFill="1" applyBorder="1" applyAlignment="1">
      <alignment horizontal="center" vertical="center" wrapText="1"/>
    </xf>
    <xf numFmtId="0" fontId="3" fillId="0" borderId="0" xfId="0" applyFont="1" applyAlignment="1">
      <alignment vertical="top" wrapText="1"/>
    </xf>
    <xf numFmtId="0" fontId="3" fillId="0" borderId="0" xfId="0" applyFont="1" applyAlignment="1">
      <alignment vertical="top"/>
    </xf>
    <xf numFmtId="0" fontId="1" fillId="8" borderId="9" xfId="0" applyFont="1" applyFill="1" applyBorder="1" applyAlignment="1" applyProtection="1">
      <alignment vertical="center"/>
      <protection locked="0"/>
    </xf>
    <xf numFmtId="44" fontId="1" fillId="8" borderId="9" xfId="2" applyFont="1" applyFill="1" applyBorder="1" applyAlignment="1" applyProtection="1">
      <alignment vertical="center"/>
      <protection locked="0"/>
    </xf>
    <xf numFmtId="0" fontId="1" fillId="0" borderId="1" xfId="0" applyFont="1" applyBorder="1" applyAlignment="1">
      <alignment vertical="top" wrapText="1"/>
    </xf>
    <xf numFmtId="0" fontId="1" fillId="0" borderId="1" xfId="1" applyFont="1" applyBorder="1" applyAlignment="1" applyProtection="1">
      <alignment vertical="top" wrapText="1"/>
    </xf>
    <xf numFmtId="0" fontId="3" fillId="0" borderId="0" xfId="0" applyFont="1" applyAlignment="1">
      <alignment horizontal="left" vertical="top" wrapText="1"/>
    </xf>
    <xf numFmtId="0" fontId="22" fillId="0" borderId="19" xfId="0" applyFont="1" applyBorder="1" applyAlignment="1">
      <alignment horizontal="left" vertical="top" wrapText="1"/>
    </xf>
    <xf numFmtId="0" fontId="3" fillId="0" borderId="29" xfId="0" applyFont="1" applyBorder="1" applyAlignment="1">
      <alignment horizontal="justify" vertical="top" wrapText="1"/>
    </xf>
    <xf numFmtId="0" fontId="22" fillId="0" borderId="20" xfId="0" applyFont="1" applyBorder="1" applyAlignment="1">
      <alignment horizontal="left" vertical="top" wrapText="1"/>
    </xf>
    <xf numFmtId="0" fontId="8" fillId="0" borderId="26" xfId="0" applyFont="1" applyBorder="1" applyAlignment="1">
      <alignment horizontal="left" vertical="top" wrapText="1"/>
    </xf>
    <xf numFmtId="0" fontId="8" fillId="0" borderId="19"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alignment vertical="top" wrapText="1"/>
    </xf>
    <xf numFmtId="0" fontId="3" fillId="0" borderId="49" xfId="0" applyFont="1" applyBorder="1" applyAlignment="1">
      <alignment vertical="top" wrapText="1"/>
    </xf>
    <xf numFmtId="0" fontId="3" fillId="8" borderId="1" xfId="0" applyFont="1" applyFill="1" applyBorder="1" applyAlignment="1" applyProtection="1">
      <alignment vertical="top"/>
      <protection locked="0"/>
    </xf>
    <xf numFmtId="0" fontId="3" fillId="8" borderId="59" xfId="0" applyFont="1" applyFill="1" applyBorder="1" applyAlignment="1" applyProtection="1">
      <alignment horizontal="left" vertical="top" wrapText="1"/>
      <protection locked="0"/>
    </xf>
    <xf numFmtId="0" fontId="3" fillId="8" borderId="58" xfId="0" applyFont="1" applyFill="1" applyBorder="1" applyAlignment="1" applyProtection="1">
      <alignment horizontal="left" vertical="top" wrapText="1"/>
      <protection locked="0"/>
    </xf>
    <xf numFmtId="0" fontId="3" fillId="8" borderId="1" xfId="0" applyFont="1" applyFill="1" applyBorder="1" applyAlignment="1" applyProtection="1">
      <alignment horizontal="left" vertical="top" wrapText="1"/>
      <protection locked="0"/>
    </xf>
    <xf numFmtId="0" fontId="13" fillId="2" borderId="60" xfId="0" applyFont="1" applyFill="1" applyBorder="1" applyAlignment="1">
      <alignment horizontal="center" vertical="center" wrapText="1"/>
    </xf>
    <xf numFmtId="0" fontId="3" fillId="0" borderId="26" xfId="0" applyFont="1" applyBorder="1" applyAlignment="1">
      <alignment horizontal="left" vertical="top" wrapText="1"/>
    </xf>
    <xf numFmtId="0" fontId="3" fillId="0" borderId="25" xfId="0" applyFont="1" applyBorder="1" applyAlignment="1">
      <alignment horizontal="left" vertical="top" wrapText="1"/>
    </xf>
    <xf numFmtId="0" fontId="8" fillId="0" borderId="0" xfId="0" applyFont="1" applyAlignment="1">
      <alignment horizontal="left" vertical="top" wrapText="1"/>
    </xf>
    <xf numFmtId="0" fontId="3" fillId="0" borderId="29" xfId="0" applyFont="1" applyBorder="1" applyAlignment="1">
      <alignment horizontal="left" vertical="top" wrapText="1"/>
    </xf>
    <xf numFmtId="8" fontId="17" fillId="8" borderId="9" xfId="1" applyNumberFormat="1" applyFont="1" applyFill="1" applyBorder="1" applyAlignment="1" applyProtection="1">
      <alignment horizontal="left" vertical="top" wrapText="1"/>
      <protection locked="0"/>
    </xf>
    <xf numFmtId="0" fontId="3" fillId="0" borderId="19" xfId="0" applyFont="1" applyBorder="1" applyAlignment="1">
      <alignment horizontal="left" vertical="top" wrapText="1"/>
    </xf>
    <xf numFmtId="0" fontId="5" fillId="0" borderId="19" xfId="0" applyFont="1" applyBorder="1" applyAlignment="1">
      <alignment horizontal="left" vertical="top" wrapText="1"/>
    </xf>
    <xf numFmtId="0" fontId="3" fillId="0" borderId="46" xfId="0" applyFont="1" applyBorder="1" applyAlignment="1">
      <alignment horizontal="left" vertical="top" wrapText="1"/>
    </xf>
    <xf numFmtId="0" fontId="3" fillId="8" borderId="1" xfId="0" applyFont="1" applyFill="1" applyBorder="1" applyAlignment="1" applyProtection="1">
      <alignment vertical="top" wrapText="1"/>
      <protection locked="0"/>
    </xf>
    <xf numFmtId="0" fontId="25" fillId="3" borderId="0" xfId="0" applyFont="1" applyFill="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wrapText="1"/>
    </xf>
    <xf numFmtId="0" fontId="0" fillId="0" borderId="12" xfId="0" applyBorder="1" applyAlignment="1">
      <alignment horizontal="left" vertical="top"/>
    </xf>
    <xf numFmtId="0" fontId="0" fillId="0" borderId="10" xfId="0" applyBorder="1" applyAlignment="1">
      <alignment horizontal="left" vertical="top"/>
    </xf>
    <xf numFmtId="8" fontId="0" fillId="0" borderId="0" xfId="0" applyNumberFormat="1" applyAlignment="1">
      <alignment horizontal="left" vertical="top"/>
    </xf>
    <xf numFmtId="0" fontId="3" fillId="8" borderId="39" xfId="0" applyFont="1" applyFill="1" applyBorder="1" applyAlignment="1" applyProtection="1">
      <alignment horizontal="left" vertical="center" wrapText="1"/>
      <protection locked="0"/>
    </xf>
    <xf numFmtId="0" fontId="3" fillId="0" borderId="60" xfId="0" applyFont="1" applyBorder="1" applyAlignment="1">
      <alignment vertical="top" wrapText="1"/>
    </xf>
    <xf numFmtId="0" fontId="3" fillId="0" borderId="60" xfId="0" applyFont="1" applyBorder="1" applyAlignment="1">
      <alignment horizontal="left" vertical="top" wrapText="1"/>
    </xf>
    <xf numFmtId="0" fontId="3" fillId="8" borderId="25" xfId="0" applyFont="1" applyFill="1" applyBorder="1" applyAlignment="1" applyProtection="1">
      <alignment horizontal="left" vertical="center" wrapText="1"/>
      <protection locked="0"/>
    </xf>
    <xf numFmtId="0" fontId="1" fillId="8" borderId="47" xfId="0" applyFont="1" applyFill="1" applyBorder="1" applyAlignment="1" applyProtection="1">
      <alignment horizontal="left" vertical="center"/>
      <protection locked="0"/>
    </xf>
    <xf numFmtId="0" fontId="1" fillId="8" borderId="9" xfId="0" applyFont="1" applyFill="1" applyBorder="1" applyAlignment="1" applyProtection="1">
      <alignment horizontal="left" vertical="top"/>
      <protection locked="0"/>
    </xf>
    <xf numFmtId="0" fontId="1" fillId="0" borderId="12" xfId="0" applyFont="1" applyBorder="1" applyAlignment="1">
      <alignment horizontal="left" vertical="top"/>
    </xf>
    <xf numFmtId="0" fontId="3" fillId="8" borderId="39" xfId="0" applyFont="1" applyFill="1" applyBorder="1" applyAlignment="1" applyProtection="1">
      <alignment horizontal="left" vertical="top" wrapText="1"/>
      <protection locked="0"/>
    </xf>
    <xf numFmtId="0" fontId="8" fillId="0" borderId="19" xfId="0" applyFont="1" applyBorder="1" applyAlignment="1">
      <alignment horizontal="left" vertical="top"/>
    </xf>
    <xf numFmtId="0" fontId="8" fillId="0" borderId="20" xfId="0" applyFont="1" applyBorder="1" applyAlignment="1">
      <alignment horizontal="left" vertical="top" wrapText="1"/>
    </xf>
    <xf numFmtId="0" fontId="1" fillId="0" borderId="3" xfId="0" applyFont="1" applyBorder="1" applyAlignment="1">
      <alignment vertical="top" wrapText="1"/>
    </xf>
    <xf numFmtId="0" fontId="3" fillId="0" borderId="3" xfId="0" applyFont="1" applyBorder="1" applyAlignment="1">
      <alignment horizontal="left" vertical="top" wrapText="1"/>
    </xf>
    <xf numFmtId="43" fontId="17" fillId="3" borderId="9" xfId="3" applyFont="1" applyFill="1" applyBorder="1" applyAlignment="1" applyProtection="1">
      <alignment horizontal="left" vertical="top" wrapText="1"/>
    </xf>
    <xf numFmtId="0" fontId="3" fillId="0" borderId="11" xfId="0" applyFont="1" applyBorder="1" applyAlignment="1">
      <alignment horizontal="left" vertical="top" wrapText="1"/>
    </xf>
    <xf numFmtId="14" fontId="0" fillId="0" borderId="0" xfId="0" applyNumberFormat="1" applyAlignment="1">
      <alignment horizontal="left" vertical="top"/>
    </xf>
    <xf numFmtId="0" fontId="3" fillId="8" borderId="1" xfId="0" applyFont="1" applyFill="1" applyBorder="1" applyAlignment="1" applyProtection="1">
      <alignment horizontal="left" vertical="top"/>
      <protection locked="0"/>
    </xf>
    <xf numFmtId="0" fontId="3" fillId="8" borderId="2" xfId="0" applyFont="1" applyFill="1" applyBorder="1" applyAlignment="1" applyProtection="1">
      <alignment horizontal="left" vertical="top"/>
      <protection locked="0"/>
    </xf>
    <xf numFmtId="0" fontId="3" fillId="8" borderId="46" xfId="0" applyFont="1" applyFill="1" applyBorder="1" applyAlignment="1" applyProtection="1">
      <alignment vertical="top" wrapText="1"/>
      <protection locked="0"/>
    </xf>
    <xf numFmtId="0" fontId="9" fillId="0" borderId="0" xfId="0" applyFont="1" applyAlignment="1">
      <alignment horizontal="left" vertical="top"/>
    </xf>
    <xf numFmtId="0" fontId="5" fillId="0" borderId="48" xfId="0" applyFont="1" applyBorder="1" applyAlignment="1">
      <alignment vertical="top" wrapText="1"/>
    </xf>
    <xf numFmtId="0" fontId="5" fillId="0" borderId="26" xfId="0" applyFont="1" applyBorder="1" applyAlignment="1">
      <alignment horizontal="left" vertical="top" wrapText="1"/>
    </xf>
    <xf numFmtId="0" fontId="5" fillId="0" borderId="14" xfId="0" applyFont="1" applyBorder="1" applyAlignment="1">
      <alignment horizontal="left" vertical="top" wrapText="1"/>
    </xf>
    <xf numFmtId="0" fontId="5" fillId="0" borderId="39" xfId="0" applyFont="1" applyBorder="1" applyAlignment="1">
      <alignment horizontal="left" vertical="top" wrapText="1"/>
    </xf>
    <xf numFmtId="0" fontId="3" fillId="0" borderId="49" xfId="0" applyFont="1" applyBorder="1" applyAlignment="1">
      <alignment horizontal="left" vertical="top"/>
    </xf>
    <xf numFmtId="0" fontId="5" fillId="8" borderId="55" xfId="0" applyFont="1" applyFill="1" applyBorder="1" applyAlignment="1" applyProtection="1">
      <alignment horizontal="left" vertical="top" wrapText="1"/>
      <protection locked="0"/>
    </xf>
    <xf numFmtId="0" fontId="3" fillId="8" borderId="2" xfId="0" applyFont="1" applyFill="1" applyBorder="1" applyAlignment="1" applyProtection="1">
      <alignment vertical="top" wrapText="1"/>
      <protection locked="0"/>
    </xf>
    <xf numFmtId="0" fontId="3" fillId="3" borderId="2" xfId="0" applyFont="1" applyFill="1" applyBorder="1" applyAlignment="1">
      <alignment horizontal="left" vertical="top"/>
    </xf>
    <xf numFmtId="0" fontId="5" fillId="0" borderId="53" xfId="0" applyFont="1" applyBorder="1" applyAlignment="1">
      <alignment horizontal="left" vertical="top" wrapText="1"/>
    </xf>
    <xf numFmtId="0" fontId="5" fillId="0" borderId="35" xfId="0" applyFont="1" applyBorder="1" applyAlignment="1">
      <alignment horizontal="left" vertical="top" wrapText="1"/>
    </xf>
    <xf numFmtId="0" fontId="3" fillId="0" borderId="52" xfId="0" applyFont="1" applyBorder="1" applyAlignment="1">
      <alignment horizontal="left" vertical="top"/>
    </xf>
    <xf numFmtId="0" fontId="3" fillId="8" borderId="34" xfId="0" applyFont="1" applyFill="1" applyBorder="1" applyAlignment="1" applyProtection="1">
      <alignment horizontal="left" vertical="top"/>
      <protection locked="0"/>
    </xf>
    <xf numFmtId="0" fontId="3" fillId="0" borderId="52" xfId="0" applyFont="1" applyBorder="1" applyAlignment="1">
      <alignment horizontal="left" vertical="top" wrapText="1"/>
    </xf>
    <xf numFmtId="0" fontId="3" fillId="8" borderId="34" xfId="0" applyFont="1" applyFill="1" applyBorder="1" applyAlignment="1" applyProtection="1">
      <alignment horizontal="left" vertical="top" wrapText="1"/>
      <protection locked="0"/>
    </xf>
    <xf numFmtId="0" fontId="3" fillId="8" borderId="29" xfId="0" applyFont="1" applyFill="1" applyBorder="1" applyAlignment="1" applyProtection="1">
      <alignment vertical="top" wrapText="1"/>
      <protection locked="0"/>
    </xf>
    <xf numFmtId="0" fontId="3" fillId="8" borderId="36" xfId="0" applyFont="1" applyFill="1" applyBorder="1" applyAlignment="1" applyProtection="1">
      <alignment horizontal="left" vertical="top" wrapText="1"/>
      <protection locked="0"/>
    </xf>
    <xf numFmtId="0" fontId="3" fillId="0" borderId="57" xfId="0" applyFont="1" applyBorder="1" applyAlignment="1">
      <alignment horizontal="left" vertical="top" wrapText="1"/>
    </xf>
    <xf numFmtId="0" fontId="5" fillId="0" borderId="63" xfId="0" applyFont="1" applyBorder="1" applyAlignment="1">
      <alignment horizontal="left" vertical="top" wrapText="1"/>
    </xf>
    <xf numFmtId="0" fontId="5" fillId="0" borderId="66" xfId="0" applyFont="1" applyBorder="1" applyAlignment="1">
      <alignment horizontal="left" vertical="top" wrapText="1"/>
    </xf>
    <xf numFmtId="0" fontId="5" fillId="0" borderId="67" xfId="0" applyFont="1" applyBorder="1" applyAlignment="1">
      <alignment horizontal="left" vertical="top" wrapText="1"/>
    </xf>
    <xf numFmtId="0" fontId="3" fillId="0" borderId="53" xfId="0" applyFont="1" applyBorder="1" applyAlignment="1">
      <alignment horizontal="left" vertical="top" wrapText="1"/>
    </xf>
    <xf numFmtId="0" fontId="3" fillId="0" borderId="51" xfId="0" applyFont="1" applyBorder="1" applyAlignment="1">
      <alignment horizontal="left" vertical="top" wrapText="1"/>
    </xf>
    <xf numFmtId="0" fontId="8" fillId="0" borderId="57" xfId="0" applyFont="1" applyBorder="1" applyAlignment="1">
      <alignment horizontal="left" vertical="top" wrapText="1"/>
    </xf>
    <xf numFmtId="0" fontId="8" fillId="0" borderId="53" xfId="0" applyFont="1" applyBorder="1" applyAlignment="1">
      <alignment horizontal="left" vertical="top" wrapText="1"/>
    </xf>
    <xf numFmtId="0" fontId="3" fillId="0" borderId="36" xfId="0" applyFont="1" applyBorder="1" applyAlignment="1">
      <alignment horizontal="left" vertical="top" wrapText="1"/>
    </xf>
    <xf numFmtId="0" fontId="5" fillId="8" borderId="0" xfId="0" applyFont="1" applyFill="1" applyAlignment="1">
      <alignment horizontal="left" vertical="top" wrapText="1"/>
    </xf>
    <xf numFmtId="0" fontId="1" fillId="0" borderId="49" xfId="0" applyFont="1" applyBorder="1" applyAlignment="1">
      <alignment horizontal="left" vertical="top" wrapText="1"/>
    </xf>
    <xf numFmtId="49" fontId="3" fillId="0" borderId="65" xfId="0" applyNumberFormat="1" applyFont="1" applyBorder="1" applyAlignment="1">
      <alignment horizontal="left" vertical="top" wrapText="1"/>
    </xf>
    <xf numFmtId="0" fontId="3" fillId="0" borderId="41" xfId="0" applyFont="1" applyBorder="1" applyAlignment="1">
      <alignment horizontal="left" vertical="top" wrapText="1"/>
    </xf>
    <xf numFmtId="0" fontId="3" fillId="8" borderId="41" xfId="0" applyFont="1" applyFill="1" applyBorder="1" applyAlignment="1" applyProtection="1">
      <alignment horizontal="left" vertical="top" wrapText="1"/>
      <protection locked="0"/>
    </xf>
    <xf numFmtId="0" fontId="20" fillId="3" borderId="40" xfId="0" applyFont="1" applyFill="1" applyBorder="1" applyAlignment="1">
      <alignment horizontal="left" vertical="top" wrapText="1"/>
    </xf>
    <xf numFmtId="0" fontId="3" fillId="0" borderId="65" xfId="0" applyFont="1" applyBorder="1" applyAlignment="1">
      <alignment horizontal="left" vertical="top" wrapText="1"/>
    </xf>
    <xf numFmtId="0" fontId="3" fillId="8" borderId="40" xfId="0" applyFont="1" applyFill="1" applyBorder="1" applyAlignment="1" applyProtection="1">
      <alignment horizontal="left" vertical="top" wrapText="1"/>
      <protection locked="0"/>
    </xf>
    <xf numFmtId="0" fontId="3" fillId="0" borderId="56" xfId="0" applyFont="1" applyBorder="1" applyAlignment="1">
      <alignment horizontal="left" vertical="top"/>
    </xf>
    <xf numFmtId="0" fontId="3" fillId="0" borderId="2" xfId="0" applyFont="1" applyBorder="1" applyAlignment="1">
      <alignment horizontal="left" vertical="top" wrapText="1"/>
    </xf>
    <xf numFmtId="0" fontId="3" fillId="0" borderId="2" xfId="0" applyFont="1" applyBorder="1" applyAlignment="1">
      <alignment vertical="top" wrapText="1"/>
    </xf>
    <xf numFmtId="0" fontId="3" fillId="0" borderId="36" xfId="0" applyFont="1" applyBorder="1" applyAlignment="1">
      <alignment vertical="top" wrapText="1"/>
    </xf>
    <xf numFmtId="0" fontId="3" fillId="0" borderId="34" xfId="0" applyFont="1" applyBorder="1" applyAlignment="1">
      <alignment vertical="top" wrapText="1"/>
    </xf>
    <xf numFmtId="0" fontId="3" fillId="0" borderId="56" xfId="0" applyFont="1" applyBorder="1" applyAlignment="1">
      <alignment vertical="top" wrapText="1"/>
    </xf>
    <xf numFmtId="0" fontId="3" fillId="0" borderId="53" xfId="0" applyFont="1" applyBorder="1" applyAlignment="1">
      <alignment horizontal="left" vertical="top"/>
    </xf>
    <xf numFmtId="0" fontId="12" fillId="0" borderId="53" xfId="0" applyFont="1" applyBorder="1" applyAlignment="1">
      <alignment horizontal="left" vertical="top" wrapText="1"/>
    </xf>
    <xf numFmtId="0" fontId="12" fillId="0" borderId="51" xfId="0" applyFont="1" applyBorder="1" applyAlignment="1">
      <alignment horizontal="left" vertical="top" wrapText="1"/>
    </xf>
    <xf numFmtId="0" fontId="3" fillId="8" borderId="36" xfId="0" applyFont="1" applyFill="1" applyBorder="1" applyAlignment="1" applyProtection="1">
      <alignment horizontal="left" vertical="top"/>
      <protection locked="0"/>
    </xf>
    <xf numFmtId="0" fontId="15" fillId="0" borderId="33" xfId="0" applyFont="1" applyBorder="1" applyAlignment="1">
      <alignment horizontal="center" vertical="center" wrapText="1"/>
    </xf>
    <xf numFmtId="0" fontId="15" fillId="0" borderId="60" xfId="0" applyFont="1" applyBorder="1" applyAlignment="1">
      <alignment horizontal="center" vertical="top" wrapText="1"/>
    </xf>
    <xf numFmtId="0" fontId="15" fillId="0" borderId="31" xfId="0" applyFont="1" applyBorder="1" applyAlignment="1">
      <alignment horizontal="center" vertical="center" wrapText="1"/>
    </xf>
    <xf numFmtId="0" fontId="21" fillId="0" borderId="0" xfId="1" applyFill="1" applyBorder="1" applyAlignment="1">
      <alignment vertical="top" wrapText="1"/>
    </xf>
    <xf numFmtId="0" fontId="21" fillId="0" borderId="0" xfId="1" applyFill="1" applyBorder="1" applyAlignment="1">
      <alignment horizontal="left" vertical="top"/>
    </xf>
    <xf numFmtId="0" fontId="15" fillId="0" borderId="60" xfId="0" applyFont="1" applyBorder="1" applyAlignment="1">
      <alignment vertical="center" wrapText="1"/>
    </xf>
    <xf numFmtId="0" fontId="13" fillId="0" borderId="59" xfId="0" applyFont="1" applyBorder="1" applyAlignment="1">
      <alignment horizontal="center" vertical="center" wrapText="1"/>
    </xf>
    <xf numFmtId="0" fontId="21" fillId="0" borderId="32"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 fillId="0" borderId="57" xfId="0" applyFont="1" applyBorder="1" applyAlignment="1">
      <alignment horizontal="left" vertical="top" wrapText="1"/>
    </xf>
    <xf numFmtId="0" fontId="1" fillId="0" borderId="50" xfId="0" applyFont="1" applyBorder="1" applyAlignment="1">
      <alignment horizontal="left" vertical="top" wrapText="1"/>
    </xf>
    <xf numFmtId="0" fontId="1" fillId="0" borderId="2" xfId="0" applyFont="1" applyBorder="1" applyAlignment="1">
      <alignment horizontal="left" vertical="top" wrapText="1"/>
    </xf>
    <xf numFmtId="0" fontId="12" fillId="2" borderId="66" xfId="0" applyFont="1" applyFill="1" applyBorder="1" applyAlignment="1">
      <alignment vertical="top"/>
    </xf>
    <xf numFmtId="0" fontId="1" fillId="0" borderId="52" xfId="0" applyFont="1" applyBorder="1" applyAlignment="1">
      <alignment horizontal="left" vertical="top" wrapText="1"/>
    </xf>
    <xf numFmtId="0" fontId="1" fillId="0" borderId="36" xfId="1" applyFont="1" applyBorder="1" applyAlignment="1" applyProtection="1">
      <alignment vertical="top" wrapText="1"/>
    </xf>
    <xf numFmtId="0" fontId="1" fillId="0" borderId="34" xfId="0" applyFont="1" applyBorder="1" applyAlignment="1">
      <alignment horizontal="left" vertical="top" wrapText="1"/>
    </xf>
    <xf numFmtId="0" fontId="3" fillId="0" borderId="0" xfId="0" applyFont="1" applyAlignment="1">
      <alignment horizontal="left" vertical="center"/>
    </xf>
    <xf numFmtId="0" fontId="21" fillId="0" borderId="0" xfId="1" applyFill="1" applyBorder="1" applyAlignment="1" applyProtection="1">
      <alignment vertical="top"/>
    </xf>
    <xf numFmtId="0" fontId="12" fillId="2" borderId="22" xfId="0" applyFont="1" applyFill="1" applyBorder="1" applyAlignment="1">
      <alignment vertical="top" wrapText="1"/>
    </xf>
    <xf numFmtId="0" fontId="12" fillId="2" borderId="30" xfId="0" applyFont="1" applyFill="1" applyBorder="1" applyAlignment="1">
      <alignment vertical="top" wrapText="1"/>
    </xf>
    <xf numFmtId="0" fontId="12" fillId="2" borderId="18" xfId="0" applyFont="1" applyFill="1" applyBorder="1" applyAlignment="1">
      <alignment vertical="top" wrapText="1"/>
    </xf>
    <xf numFmtId="0" fontId="1" fillId="0" borderId="2" xfId="0" applyFont="1" applyBorder="1" applyAlignment="1">
      <alignment vertical="top" wrapText="1"/>
    </xf>
    <xf numFmtId="0" fontId="1" fillId="0" borderId="2" xfId="1" applyFont="1" applyBorder="1" applyAlignment="1" applyProtection="1">
      <alignment vertical="top" wrapText="1"/>
    </xf>
    <xf numFmtId="0" fontId="1" fillId="0" borderId="55" xfId="0" applyFont="1" applyBorder="1" applyAlignment="1">
      <alignment vertical="top" wrapText="1"/>
    </xf>
    <xf numFmtId="0" fontId="12" fillId="2" borderId="63" xfId="0" applyFont="1" applyFill="1" applyBorder="1" applyAlignment="1">
      <alignment vertical="top"/>
    </xf>
    <xf numFmtId="0" fontId="12" fillId="2" borderId="67" xfId="0" applyFont="1" applyFill="1" applyBorder="1" applyAlignment="1">
      <alignment vertical="top"/>
    </xf>
    <xf numFmtId="0" fontId="1" fillId="0" borderId="34" xfId="1" applyFont="1" applyBorder="1" applyAlignment="1" applyProtection="1">
      <alignment vertical="top" wrapText="1"/>
    </xf>
    <xf numFmtId="0" fontId="17" fillId="3" borderId="2" xfId="0" applyFont="1" applyFill="1" applyBorder="1" applyAlignment="1">
      <alignment horizontal="left" vertical="top" wrapText="1"/>
    </xf>
    <xf numFmtId="0" fontId="17" fillId="3" borderId="17" xfId="0" applyFont="1" applyFill="1" applyBorder="1" applyAlignment="1">
      <alignment horizontal="left" vertical="top" wrapText="1"/>
    </xf>
    <xf numFmtId="0" fontId="17" fillId="3" borderId="18" xfId="0" applyFont="1" applyFill="1" applyBorder="1" applyAlignment="1">
      <alignment horizontal="left" vertical="top" wrapText="1"/>
    </xf>
    <xf numFmtId="0" fontId="12" fillId="0" borderId="45" xfId="0" applyFont="1" applyBorder="1" applyAlignment="1">
      <alignment horizontal="left" vertical="top" wrapText="1"/>
    </xf>
    <xf numFmtId="0" fontId="1" fillId="8" borderId="2" xfId="0" applyFont="1" applyFill="1" applyBorder="1" applyAlignment="1" applyProtection="1">
      <alignment horizontal="left" vertical="center" wrapText="1"/>
      <protection locked="0"/>
    </xf>
    <xf numFmtId="0" fontId="12" fillId="3" borderId="6" xfId="0" applyFont="1" applyFill="1" applyBorder="1" applyAlignment="1">
      <alignment horizontal="left" vertical="top"/>
    </xf>
    <xf numFmtId="0" fontId="12" fillId="2" borderId="32" xfId="0" applyFont="1" applyFill="1" applyBorder="1" applyAlignment="1">
      <alignment horizontal="left" vertical="top"/>
    </xf>
    <xf numFmtId="0" fontId="12" fillId="2" borderId="31" xfId="0" applyFont="1" applyFill="1" applyBorder="1" applyAlignment="1">
      <alignment horizontal="left" vertical="top"/>
    </xf>
    <xf numFmtId="0" fontId="12" fillId="3" borderId="38" xfId="0" applyFont="1" applyFill="1" applyBorder="1" applyAlignment="1">
      <alignment horizontal="left" vertical="top" wrapText="1"/>
    </xf>
    <xf numFmtId="0" fontId="1" fillId="3" borderId="49" xfId="0" applyFont="1" applyFill="1" applyBorder="1" applyAlignment="1">
      <alignment horizontal="left" vertical="top" wrapText="1"/>
    </xf>
    <xf numFmtId="0" fontId="21" fillId="0" borderId="33" xfId="1" applyFill="1" applyBorder="1" applyAlignment="1" applyProtection="1">
      <alignment horizontal="left" vertical="top" wrapText="1"/>
    </xf>
    <xf numFmtId="0" fontId="1" fillId="3" borderId="49" xfId="0" applyFont="1" applyFill="1" applyBorder="1" applyAlignment="1">
      <alignment horizontal="left" vertical="center" wrapText="1"/>
    </xf>
    <xf numFmtId="0" fontId="1" fillId="3" borderId="14" xfId="0" applyFont="1" applyFill="1" applyBorder="1" applyAlignment="1">
      <alignment horizontal="left" vertical="top" wrapText="1"/>
    </xf>
    <xf numFmtId="0" fontId="1" fillId="8" borderId="2" xfId="0" applyFont="1" applyFill="1" applyBorder="1" applyAlignment="1" applyProtection="1">
      <alignment horizontal="left" vertical="center"/>
      <protection locked="0"/>
    </xf>
    <xf numFmtId="0" fontId="1" fillId="8" borderId="34" xfId="0" applyFont="1" applyFill="1" applyBorder="1" applyAlignment="1" applyProtection="1">
      <alignment horizontal="left" vertical="center" wrapText="1"/>
      <protection locked="0"/>
    </xf>
    <xf numFmtId="164" fontId="1" fillId="8" borderId="2" xfId="0" applyNumberFormat="1" applyFont="1" applyFill="1" applyBorder="1" applyAlignment="1" applyProtection="1">
      <alignment horizontal="left" vertical="center" wrapText="1"/>
      <protection locked="0"/>
    </xf>
    <xf numFmtId="0" fontId="1" fillId="8" borderId="50" xfId="0" applyFont="1" applyFill="1" applyBorder="1" applyAlignment="1" applyProtection="1">
      <alignment horizontal="left" vertical="center" wrapText="1"/>
      <protection locked="0"/>
    </xf>
    <xf numFmtId="0" fontId="21" fillId="0" borderId="0" xfId="1" applyFill="1" applyBorder="1" applyAlignment="1" applyProtection="1">
      <alignment horizontal="left" vertical="top"/>
    </xf>
    <xf numFmtId="0" fontId="1" fillId="3" borderId="24" xfId="0" applyFont="1" applyFill="1" applyBorder="1" applyAlignment="1">
      <alignment horizontal="left" vertical="center" wrapText="1"/>
    </xf>
    <xf numFmtId="0" fontId="13" fillId="2" borderId="39" xfId="0" applyFont="1" applyFill="1" applyBorder="1" applyAlignment="1">
      <alignment horizontal="center" vertical="center" wrapText="1"/>
    </xf>
    <xf numFmtId="0" fontId="12" fillId="3" borderId="25" xfId="0" applyFont="1" applyFill="1" applyBorder="1" applyAlignment="1">
      <alignment horizontal="left" vertical="top" wrapText="1"/>
    </xf>
    <xf numFmtId="0" fontId="1" fillId="8" borderId="50" xfId="0" applyFont="1" applyFill="1" applyBorder="1" applyAlignment="1" applyProtection="1">
      <alignment horizontal="left" vertical="center"/>
      <protection locked="0"/>
    </xf>
    <xf numFmtId="0" fontId="1" fillId="3" borderId="30" xfId="0" applyFont="1" applyFill="1" applyBorder="1" applyAlignment="1">
      <alignment horizontal="left" vertical="center" wrapText="1"/>
    </xf>
    <xf numFmtId="0" fontId="1" fillId="3" borderId="24" xfId="0" applyFont="1" applyFill="1" applyBorder="1" applyAlignment="1">
      <alignment horizontal="left" vertical="center"/>
    </xf>
    <xf numFmtId="0" fontId="1" fillId="3" borderId="27" xfId="0" applyFont="1" applyFill="1" applyBorder="1" applyAlignment="1">
      <alignment horizontal="left" vertical="center"/>
    </xf>
    <xf numFmtId="0" fontId="1" fillId="3" borderId="0" xfId="0" applyFont="1" applyFill="1" applyAlignment="1">
      <alignment horizontal="left" vertical="center"/>
    </xf>
    <xf numFmtId="0" fontId="1" fillId="3" borderId="57" xfId="0" applyFont="1" applyFill="1" applyBorder="1" applyAlignment="1">
      <alignment horizontal="left" vertical="center" wrapText="1"/>
    </xf>
    <xf numFmtId="0" fontId="1" fillId="3" borderId="52" xfId="0" applyFont="1" applyFill="1" applyBorder="1" applyAlignment="1">
      <alignment horizontal="left" vertical="top" wrapText="1"/>
    </xf>
    <xf numFmtId="0" fontId="5" fillId="3" borderId="34" xfId="0" applyFont="1" applyFill="1" applyBorder="1" applyAlignment="1">
      <alignment horizontal="left" vertical="top"/>
    </xf>
    <xf numFmtId="0" fontId="2" fillId="0" borderId="0" xfId="0" applyFont="1" applyAlignment="1">
      <alignment vertical="center" wrapText="1"/>
    </xf>
    <xf numFmtId="0" fontId="1" fillId="3" borderId="7" xfId="0" applyFont="1" applyFill="1" applyBorder="1" applyAlignment="1">
      <alignment horizontal="left" vertical="top" wrapText="1"/>
    </xf>
    <xf numFmtId="0" fontId="12" fillId="3" borderId="54" xfId="0" applyFont="1" applyFill="1" applyBorder="1" applyAlignment="1">
      <alignment horizontal="left" vertical="top" wrapText="1"/>
    </xf>
    <xf numFmtId="0" fontId="12" fillId="3" borderId="69" xfId="0" applyFont="1" applyFill="1" applyBorder="1" applyAlignment="1">
      <alignment horizontal="left" vertical="top" wrapText="1"/>
    </xf>
    <xf numFmtId="0" fontId="4" fillId="0" borderId="26" xfId="0" applyFont="1" applyBorder="1" applyAlignment="1">
      <alignment horizontal="left" vertical="top" wrapText="1"/>
    </xf>
    <xf numFmtId="0" fontId="12" fillId="3" borderId="39" xfId="0" applyFont="1" applyFill="1" applyBorder="1" applyAlignment="1">
      <alignment horizontal="left" vertical="top" wrapText="1"/>
    </xf>
    <xf numFmtId="0" fontId="21" fillId="0" borderId="20" xfId="1" applyFill="1" applyBorder="1" applyAlignment="1" applyProtection="1">
      <alignment horizontal="left" vertical="center" wrapText="1"/>
    </xf>
    <xf numFmtId="0" fontId="21" fillId="0" borderId="25" xfId="1" applyFill="1" applyBorder="1" applyAlignment="1" applyProtection="1">
      <alignment horizontal="left" vertical="center" wrapText="1"/>
    </xf>
    <xf numFmtId="0" fontId="3" fillId="3" borderId="19" xfId="0" applyFont="1" applyFill="1" applyBorder="1" applyAlignment="1">
      <alignment horizontal="left" vertical="top" wrapText="1"/>
    </xf>
    <xf numFmtId="0" fontId="3" fillId="3" borderId="29" xfId="0" applyFont="1" applyFill="1" applyBorder="1" applyAlignment="1">
      <alignment horizontal="left" vertical="top" wrapText="1"/>
    </xf>
    <xf numFmtId="0" fontId="3" fillId="0" borderId="38" xfId="0" applyFont="1" applyBorder="1" applyAlignment="1">
      <alignment horizontal="left" vertical="top"/>
    </xf>
    <xf numFmtId="0" fontId="1" fillId="8" borderId="47" xfId="0" applyFont="1" applyFill="1" applyBorder="1" applyAlignment="1" applyProtection="1">
      <alignment horizontal="left" vertical="top"/>
      <protection locked="0"/>
    </xf>
    <xf numFmtId="0" fontId="1" fillId="8" borderId="61" xfId="0" applyFont="1" applyFill="1" applyBorder="1" applyAlignment="1" applyProtection="1">
      <alignment horizontal="left" vertical="top"/>
      <protection locked="0"/>
    </xf>
    <xf numFmtId="0" fontId="15" fillId="0" borderId="25"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20" fillId="3" borderId="45" xfId="0" applyFont="1" applyFill="1" applyBorder="1" applyAlignment="1">
      <alignment horizontal="left" vertical="top" wrapText="1"/>
    </xf>
    <xf numFmtId="0" fontId="17" fillId="8" borderId="2" xfId="0" applyFont="1" applyFill="1" applyBorder="1" applyAlignment="1" applyProtection="1">
      <alignment horizontal="left" vertical="top" wrapText="1"/>
      <protection locked="0"/>
    </xf>
    <xf numFmtId="0" fontId="17" fillId="8" borderId="34" xfId="0" applyFont="1" applyFill="1" applyBorder="1" applyAlignment="1" applyProtection="1">
      <alignment horizontal="left" vertical="top" wrapText="1"/>
      <protection locked="0"/>
    </xf>
    <xf numFmtId="0" fontId="1" fillId="8" borderId="12" xfId="0" applyFont="1" applyFill="1" applyBorder="1" applyAlignment="1" applyProtection="1">
      <alignment horizontal="left" vertical="top" wrapText="1"/>
      <protection locked="0"/>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45" xfId="0" applyFont="1" applyBorder="1" applyAlignment="1">
      <alignment horizontal="left" vertical="top" wrapText="1"/>
    </xf>
    <xf numFmtId="0" fontId="17" fillId="0" borderId="19" xfId="0" applyFont="1" applyBorder="1" applyAlignment="1">
      <alignment horizontal="left" vertical="center" wrapText="1"/>
    </xf>
    <xf numFmtId="0" fontId="17" fillId="0" borderId="29" xfId="0" applyFont="1" applyBorder="1" applyAlignment="1">
      <alignment horizontal="left" vertical="center" wrapText="1"/>
    </xf>
    <xf numFmtId="0" fontId="17" fillId="0" borderId="32" xfId="0" applyFont="1" applyBorder="1" applyAlignment="1">
      <alignment horizontal="left" vertical="center" wrapText="1"/>
    </xf>
    <xf numFmtId="0" fontId="17" fillId="0" borderId="33" xfId="0" applyFont="1" applyBorder="1" applyAlignment="1">
      <alignment horizontal="left" vertical="center" wrapText="1"/>
    </xf>
    <xf numFmtId="0" fontId="21" fillId="0" borderId="19" xfId="1" applyFill="1" applyBorder="1" applyAlignment="1" applyProtection="1">
      <alignment horizontal="left" vertical="top"/>
    </xf>
    <xf numFmtId="0" fontId="21" fillId="0" borderId="29" xfId="1" applyFill="1" applyBorder="1" applyAlignment="1" applyProtection="1">
      <alignment horizontal="left" vertical="top"/>
    </xf>
    <xf numFmtId="0" fontId="3" fillId="0" borderId="59" xfId="0" applyFont="1" applyBorder="1" applyAlignment="1">
      <alignment vertical="top" wrapText="1"/>
    </xf>
    <xf numFmtId="0" fontId="12" fillId="0" borderId="71" xfId="0" applyFont="1" applyBorder="1" applyAlignment="1">
      <alignment horizontal="left" vertical="top" wrapText="1"/>
    </xf>
    <xf numFmtId="8" fontId="17" fillId="3" borderId="37" xfId="1" applyNumberFormat="1" applyFont="1" applyFill="1" applyBorder="1" applyAlignment="1" applyProtection="1">
      <alignment horizontal="left" vertical="top" wrapText="1"/>
    </xf>
    <xf numFmtId="0" fontId="1" fillId="3" borderId="19" xfId="0" applyFont="1" applyFill="1" applyBorder="1" applyAlignment="1">
      <alignment vertical="top" wrapText="1"/>
    </xf>
    <xf numFmtId="0" fontId="1" fillId="3" borderId="0" xfId="0" applyFont="1" applyFill="1" applyAlignment="1">
      <alignment vertical="top" wrapText="1"/>
    </xf>
    <xf numFmtId="0" fontId="1" fillId="3" borderId="29" xfId="0" applyFont="1" applyFill="1" applyBorder="1" applyAlignment="1">
      <alignment vertical="top" wrapText="1"/>
    </xf>
    <xf numFmtId="0" fontId="4" fillId="3" borderId="48" xfId="0" applyFont="1" applyFill="1" applyBorder="1" applyAlignment="1">
      <alignment horizontal="left" vertical="top" wrapText="1"/>
    </xf>
    <xf numFmtId="0" fontId="3" fillId="8" borderId="0" xfId="0" applyFont="1" applyFill="1" applyAlignment="1" applyProtection="1">
      <alignment horizontal="left" vertical="top" wrapText="1"/>
      <protection locked="0"/>
    </xf>
    <xf numFmtId="0" fontId="12" fillId="3" borderId="11" xfId="0" applyFont="1" applyFill="1" applyBorder="1" applyAlignment="1">
      <alignment horizontal="left" vertical="top" wrapText="1"/>
    </xf>
    <xf numFmtId="0" fontId="3" fillId="8" borderId="59" xfId="0" applyFont="1" applyFill="1" applyBorder="1" applyAlignment="1">
      <alignment horizontal="left" vertical="top" wrapText="1"/>
    </xf>
    <xf numFmtId="0" fontId="4" fillId="3" borderId="25" xfId="1" applyFont="1" applyFill="1" applyBorder="1" applyAlignment="1" applyProtection="1">
      <alignment horizontal="left" vertical="top" wrapText="1"/>
    </xf>
    <xf numFmtId="0" fontId="1" fillId="8" borderId="13" xfId="0" applyFont="1" applyFill="1" applyBorder="1" applyAlignment="1" applyProtection="1">
      <alignment horizontal="left" vertical="top"/>
      <protection locked="0"/>
    </xf>
    <xf numFmtId="0" fontId="3" fillId="8" borderId="47" xfId="0" applyFont="1" applyFill="1" applyBorder="1" applyAlignment="1" applyProtection="1">
      <alignment horizontal="left" vertical="top" wrapText="1"/>
      <protection locked="0"/>
    </xf>
    <xf numFmtId="0" fontId="3" fillId="8" borderId="9" xfId="0" applyFont="1" applyFill="1" applyBorder="1" applyAlignment="1" applyProtection="1">
      <alignment horizontal="left" vertical="top" wrapText="1"/>
      <protection locked="0"/>
    </xf>
    <xf numFmtId="0" fontId="3" fillId="8" borderId="37" xfId="0" applyFont="1" applyFill="1" applyBorder="1" applyAlignment="1" applyProtection="1">
      <alignment horizontal="left" vertical="top" wrapText="1"/>
      <protection locked="0"/>
    </xf>
    <xf numFmtId="0" fontId="3" fillId="8" borderId="39" xfId="0" applyFont="1" applyFill="1" applyBorder="1" applyAlignment="1" applyProtection="1">
      <alignment vertical="top" wrapText="1"/>
      <protection locked="0"/>
    </xf>
    <xf numFmtId="0" fontId="3" fillId="8" borderId="25" xfId="0" applyFont="1" applyFill="1" applyBorder="1" applyAlignment="1" applyProtection="1">
      <alignment vertical="top" wrapText="1"/>
      <protection locked="0"/>
    </xf>
    <xf numFmtId="0" fontId="3" fillId="8" borderId="44" xfId="0" applyFont="1" applyFill="1" applyBorder="1" applyAlignment="1" applyProtection="1">
      <alignment vertical="top" wrapText="1"/>
      <protection locked="0"/>
    </xf>
    <xf numFmtId="0" fontId="5" fillId="0" borderId="73" xfId="0" applyFont="1" applyBorder="1" applyAlignment="1">
      <alignment horizontal="left" vertical="top" wrapText="1"/>
    </xf>
    <xf numFmtId="0" fontId="5" fillId="0" borderId="72" xfId="0" applyFont="1" applyBorder="1" applyAlignment="1">
      <alignment horizontal="left" vertical="top" wrapText="1"/>
    </xf>
    <xf numFmtId="0" fontId="3" fillId="0" borderId="70" xfId="0" applyFont="1" applyBorder="1" applyAlignment="1">
      <alignment horizontal="left" vertical="top" wrapText="1"/>
    </xf>
    <xf numFmtId="0" fontId="3" fillId="0" borderId="24" xfId="0" applyFont="1" applyBorder="1" applyAlignment="1">
      <alignment horizontal="left" vertical="top"/>
    </xf>
    <xf numFmtId="0" fontId="1" fillId="3" borderId="60" xfId="0" applyFont="1" applyFill="1" applyBorder="1" applyAlignment="1">
      <alignment horizontal="left" vertical="top" wrapText="1"/>
    </xf>
    <xf numFmtId="0" fontId="12" fillId="3" borderId="26"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1" xfId="0" applyFont="1" applyFill="1" applyBorder="1" applyAlignment="1">
      <alignment horizontal="left" vertical="center"/>
    </xf>
    <xf numFmtId="0" fontId="1" fillId="3" borderId="49" xfId="0" applyFont="1" applyFill="1" applyBorder="1" applyAlignment="1">
      <alignment horizontal="left" vertical="center"/>
    </xf>
    <xf numFmtId="0" fontId="12" fillId="3" borderId="63" xfId="0" applyFont="1" applyFill="1" applyBorder="1" applyAlignment="1">
      <alignment horizontal="left" vertical="center" wrapText="1"/>
    </xf>
    <xf numFmtId="0" fontId="12" fillId="3" borderId="20" xfId="0" applyFont="1" applyFill="1" applyBorder="1" applyAlignment="1">
      <alignment vertical="top" wrapText="1"/>
    </xf>
    <xf numFmtId="0" fontId="1" fillId="3" borderId="27" xfId="0" applyFont="1" applyFill="1" applyBorder="1" applyAlignment="1">
      <alignment horizontal="left" vertical="center" wrapText="1"/>
    </xf>
    <xf numFmtId="0" fontId="1" fillId="8" borderId="34" xfId="0" applyFont="1" applyFill="1" applyBorder="1" applyAlignment="1" applyProtection="1">
      <alignment horizontal="left" vertical="center"/>
      <protection locked="0"/>
    </xf>
    <xf numFmtId="0" fontId="3" fillId="8" borderId="0" xfId="0" applyFont="1" applyFill="1" applyAlignment="1" applyProtection="1">
      <alignment vertical="top" wrapText="1"/>
      <protection locked="0"/>
    </xf>
    <xf numFmtId="0" fontId="12" fillId="3" borderId="64" xfId="0" applyFont="1" applyFill="1" applyBorder="1" applyAlignment="1">
      <alignment horizontal="left" vertical="top" wrapText="1"/>
    </xf>
    <xf numFmtId="0" fontId="5" fillId="2" borderId="0" xfId="0" applyFont="1" applyFill="1" applyAlignment="1">
      <alignment horizontal="left" vertical="top" wrapText="1"/>
    </xf>
    <xf numFmtId="0" fontId="5" fillId="2" borderId="39" xfId="0" applyFont="1" applyFill="1" applyBorder="1" applyAlignment="1">
      <alignment horizontal="left" vertical="top" wrapText="1"/>
    </xf>
    <xf numFmtId="0" fontId="21" fillId="0" borderId="33" xfId="1" applyFill="1" applyBorder="1" applyAlignment="1">
      <alignment horizontal="left" vertical="center" wrapText="1"/>
    </xf>
    <xf numFmtId="0" fontId="3" fillId="0" borderId="14" xfId="0" applyFont="1" applyBorder="1" applyAlignment="1">
      <alignment horizontal="left" vertical="top" wrapText="1"/>
    </xf>
    <xf numFmtId="0" fontId="3" fillId="0" borderId="27" xfId="0" applyFont="1" applyBorder="1" applyAlignment="1">
      <alignment vertical="top" wrapText="1"/>
    </xf>
    <xf numFmtId="0" fontId="3" fillId="0" borderId="27" xfId="0" applyFont="1" applyBorder="1" applyAlignment="1">
      <alignment horizontal="left" vertical="top"/>
    </xf>
    <xf numFmtId="0" fontId="3" fillId="3" borderId="34" xfId="0" applyFont="1" applyFill="1" applyBorder="1" applyAlignment="1">
      <alignment horizontal="left" vertical="top"/>
    </xf>
    <xf numFmtId="0" fontId="5" fillId="0" borderId="0" xfId="0" applyFont="1" applyAlignment="1">
      <alignment horizontal="left" vertical="top" wrapText="1"/>
    </xf>
    <xf numFmtId="0" fontId="3" fillId="8" borderId="0" xfId="0" applyFont="1" applyFill="1" applyAlignment="1" applyProtection="1">
      <alignment horizontal="left" vertical="top"/>
      <protection locked="0"/>
    </xf>
    <xf numFmtId="0" fontId="3" fillId="8" borderId="29" xfId="0" applyFont="1" applyFill="1" applyBorder="1" applyAlignment="1">
      <alignment horizontal="left" vertical="top" wrapText="1"/>
    </xf>
    <xf numFmtId="0" fontId="0" fillId="8" borderId="61" xfId="0" applyFill="1" applyBorder="1"/>
    <xf numFmtId="0" fontId="0" fillId="8" borderId="29" xfId="0" applyFill="1" applyBorder="1"/>
    <xf numFmtId="0" fontId="21" fillId="0" borderId="33" xfId="1" applyFill="1" applyBorder="1" applyAlignment="1">
      <alignment horizontal="center" vertical="center" wrapText="1"/>
    </xf>
    <xf numFmtId="0" fontId="5" fillId="8" borderId="14" xfId="0" applyFont="1" applyFill="1" applyBorder="1" applyAlignment="1" applyProtection="1">
      <alignment horizontal="left" vertical="top" wrapText="1"/>
      <protection locked="0"/>
    </xf>
    <xf numFmtId="0" fontId="3" fillId="8" borderId="24" xfId="0" applyFont="1" applyFill="1" applyBorder="1" applyAlignment="1" applyProtection="1">
      <alignment horizontal="left" vertical="top"/>
      <protection locked="0"/>
    </xf>
    <xf numFmtId="0" fontId="3" fillId="3" borderId="30" xfId="0" applyFont="1" applyFill="1" applyBorder="1" applyAlignment="1">
      <alignment horizontal="left" vertical="top"/>
    </xf>
    <xf numFmtId="0" fontId="3" fillId="0" borderId="57" xfId="0" applyFont="1" applyBorder="1" applyAlignment="1">
      <alignment horizontal="left" vertical="top"/>
    </xf>
    <xf numFmtId="0" fontId="5" fillId="0" borderId="57" xfId="0" applyFont="1" applyBorder="1" applyAlignment="1">
      <alignment horizontal="left" vertical="top" wrapText="1"/>
    </xf>
    <xf numFmtId="0" fontId="5" fillId="0" borderId="50" xfId="0" applyFont="1" applyBorder="1" applyAlignment="1">
      <alignment horizontal="left" vertical="top" wrapText="1"/>
    </xf>
    <xf numFmtId="0" fontId="5" fillId="8" borderId="2" xfId="0" applyFont="1" applyFill="1" applyBorder="1" applyAlignment="1" applyProtection="1">
      <alignment horizontal="left" vertical="top" wrapText="1"/>
      <protection locked="0"/>
    </xf>
    <xf numFmtId="0" fontId="3" fillId="8" borderId="27" xfId="0" applyFont="1" applyFill="1" applyBorder="1" applyAlignment="1" applyProtection="1">
      <alignment vertical="top" wrapText="1"/>
      <protection locked="0"/>
    </xf>
    <xf numFmtId="0" fontId="3" fillId="8" borderId="3" xfId="0" applyFont="1" applyFill="1" applyBorder="1" applyAlignment="1" applyProtection="1">
      <alignment horizontal="left" vertical="top"/>
      <protection locked="0"/>
    </xf>
    <xf numFmtId="0" fontId="5" fillId="8" borderId="5" xfId="0" applyFont="1" applyFill="1" applyBorder="1" applyAlignment="1" applyProtection="1">
      <alignment horizontal="left" vertical="top" wrapText="1"/>
      <protection locked="0"/>
    </xf>
    <xf numFmtId="0" fontId="3" fillId="3" borderId="1" xfId="0" applyFont="1" applyFill="1" applyBorder="1" applyAlignment="1">
      <alignment horizontal="left" vertical="top"/>
    </xf>
    <xf numFmtId="0" fontId="3" fillId="8" borderId="55" xfId="0" applyFont="1" applyFill="1" applyBorder="1" applyAlignment="1" applyProtection="1">
      <alignment horizontal="left" vertical="top" wrapText="1"/>
      <protection locked="0"/>
    </xf>
    <xf numFmtId="0" fontId="3" fillId="0" borderId="55" xfId="0" applyFont="1" applyBorder="1" applyAlignment="1">
      <alignment horizontal="left" vertical="top"/>
    </xf>
    <xf numFmtId="0" fontId="12" fillId="3" borderId="4" xfId="0" applyFont="1" applyFill="1" applyBorder="1" applyAlignment="1">
      <alignment horizontal="left" vertical="top" wrapText="1"/>
    </xf>
    <xf numFmtId="0" fontId="12" fillId="3" borderId="22"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0" xfId="0" applyFont="1" applyFill="1" applyBorder="1" applyAlignment="1">
      <alignment horizontal="left" vertical="top" wrapText="1"/>
    </xf>
    <xf numFmtId="0" fontId="21" fillId="0" borderId="32" xfId="1" applyFill="1" applyBorder="1" applyAlignment="1" applyProtection="1">
      <alignment horizontal="left" vertical="top" wrapText="1"/>
    </xf>
    <xf numFmtId="0" fontId="0" fillId="0" borderId="29" xfId="0" applyBorder="1" applyAlignment="1">
      <alignment horizontal="left" vertical="top" wrapText="1"/>
    </xf>
    <xf numFmtId="0" fontId="10" fillId="9" borderId="0" xfId="0" applyFont="1" applyFill="1" applyAlignment="1">
      <alignment horizontal="left" vertical="top"/>
    </xf>
    <xf numFmtId="0" fontId="10" fillId="9" borderId="30" xfId="0" applyFont="1" applyFill="1" applyBorder="1" applyAlignment="1">
      <alignment horizontal="left" vertical="top"/>
    </xf>
    <xf numFmtId="0" fontId="0" fillId="0" borderId="29" xfId="0" applyBorder="1" applyAlignment="1">
      <alignment horizontal="center" vertical="top"/>
    </xf>
    <xf numFmtId="0" fontId="0" fillId="0" borderId="25" xfId="0" applyBorder="1" applyAlignment="1">
      <alignment horizontal="left" vertical="top" wrapText="1"/>
    </xf>
    <xf numFmtId="0" fontId="13" fillId="0" borderId="39" xfId="0" applyFont="1" applyBorder="1" applyAlignment="1">
      <alignment horizontal="center" vertical="center" wrapText="1"/>
    </xf>
    <xf numFmtId="0" fontId="0" fillId="0" borderId="19" xfId="0" applyBorder="1" applyAlignment="1">
      <alignment horizontal="left" vertical="top"/>
    </xf>
    <xf numFmtId="0" fontId="0" fillId="0" borderId="29" xfId="0" applyBorder="1" applyAlignment="1">
      <alignment horizontal="left" vertical="top"/>
    </xf>
    <xf numFmtId="0" fontId="10" fillId="0" borderId="19" xfId="0" applyFont="1" applyBorder="1" applyAlignment="1">
      <alignment horizontal="left" vertical="top"/>
    </xf>
    <xf numFmtId="0" fontId="10" fillId="0" borderId="20" xfId="0" applyFont="1" applyBorder="1" applyAlignment="1">
      <alignment horizontal="left" vertical="top"/>
    </xf>
    <xf numFmtId="0" fontId="0" fillId="0" borderId="26" xfId="0" applyBorder="1" applyAlignment="1">
      <alignment horizontal="left" vertical="top"/>
    </xf>
    <xf numFmtId="0" fontId="0" fillId="0" borderId="25" xfId="0" applyBorder="1" applyAlignment="1">
      <alignment horizontal="left" vertical="top"/>
    </xf>
    <xf numFmtId="0" fontId="6" fillId="0" borderId="1" xfId="0" applyFont="1" applyBorder="1" applyAlignment="1">
      <alignment horizontal="left" vertical="top"/>
    </xf>
    <xf numFmtId="0" fontId="4" fillId="0" borderId="11" xfId="1" applyFont="1" applyFill="1" applyBorder="1" applyAlignment="1">
      <alignment horizontal="left" vertical="top" wrapText="1"/>
    </xf>
    <xf numFmtId="0" fontId="5" fillId="2" borderId="50" xfId="0" applyFont="1" applyFill="1" applyBorder="1" applyAlignment="1">
      <alignment horizontal="left" vertical="top" wrapText="1"/>
    </xf>
    <xf numFmtId="0" fontId="21" fillId="0" borderId="14" xfId="1" applyFill="1" applyBorder="1" applyAlignment="1" applyProtection="1">
      <alignment horizontal="left" vertical="top"/>
    </xf>
    <xf numFmtId="0" fontId="6" fillId="0" borderId="3" xfId="0" applyFont="1" applyBorder="1" applyAlignment="1">
      <alignment horizontal="left" vertical="top"/>
    </xf>
    <xf numFmtId="0" fontId="21" fillId="0" borderId="27" xfId="1" applyFill="1" applyBorder="1" applyAlignment="1" applyProtection="1">
      <alignment horizontal="left" vertical="top"/>
    </xf>
    <xf numFmtId="0" fontId="27" fillId="8" borderId="29" xfId="0" applyFont="1" applyFill="1" applyBorder="1" applyAlignment="1" applyProtection="1">
      <alignment horizontal="left" vertical="top" wrapText="1"/>
      <protection locked="0"/>
    </xf>
    <xf numFmtId="0" fontId="21" fillId="0" borderId="14" xfId="1" applyFill="1" applyBorder="1" applyAlignment="1" applyProtection="1">
      <alignment horizontal="left" vertical="top" wrapText="1"/>
    </xf>
    <xf numFmtId="0" fontId="5" fillId="0" borderId="0" xfId="0" applyFont="1"/>
    <xf numFmtId="0" fontId="3" fillId="0" borderId="0" xfId="0" applyFont="1"/>
    <xf numFmtId="0" fontId="33" fillId="5" borderId="35" xfId="0" applyFont="1" applyFill="1" applyBorder="1" applyAlignment="1">
      <alignment horizontal="left" vertical="top"/>
    </xf>
    <xf numFmtId="0" fontId="33" fillId="5" borderId="53" xfId="0" applyFont="1" applyFill="1" applyBorder="1" applyAlignment="1">
      <alignment horizontal="left" vertical="top"/>
    </xf>
    <xf numFmtId="0" fontId="33" fillId="9" borderId="35" xfId="0" applyFont="1" applyFill="1" applyBorder="1" applyAlignment="1">
      <alignment horizontal="left" vertical="top"/>
    </xf>
    <xf numFmtId="0" fontId="33" fillId="9" borderId="53" xfId="0" applyFont="1" applyFill="1" applyBorder="1" applyAlignment="1">
      <alignment horizontal="left" vertical="top"/>
    </xf>
    <xf numFmtId="0" fontId="33" fillId="5" borderId="0" xfId="0" applyFont="1" applyFill="1" applyAlignment="1">
      <alignment horizontal="left" vertical="top"/>
    </xf>
    <xf numFmtId="0" fontId="10" fillId="5" borderId="0" xfId="0" applyFont="1" applyFill="1" applyAlignment="1">
      <alignment horizontal="left" vertical="top"/>
    </xf>
    <xf numFmtId="0" fontId="0" fillId="5" borderId="0" xfId="0" applyFill="1" applyAlignment="1">
      <alignment horizontal="left" vertical="top"/>
    </xf>
    <xf numFmtId="0" fontId="0" fillId="0" borderId="14" xfId="0" applyBorder="1" applyAlignment="1">
      <alignment horizontal="left" vertical="top"/>
    </xf>
    <xf numFmtId="0" fontId="17" fillId="0" borderId="49" xfId="0" applyFont="1" applyBorder="1" applyAlignment="1">
      <alignment horizontal="left" vertical="top" wrapText="1"/>
    </xf>
    <xf numFmtId="0" fontId="17" fillId="0" borderId="52" xfId="0" applyFont="1" applyBorder="1" applyAlignment="1">
      <alignment horizontal="left" vertical="top" wrapText="1"/>
    </xf>
    <xf numFmtId="0" fontId="0" fillId="2" borderId="0" xfId="0" applyFill="1" applyAlignment="1">
      <alignment horizontal="left" vertical="top"/>
    </xf>
    <xf numFmtId="0" fontId="1" fillId="3" borderId="8" xfId="1" applyFont="1" applyFill="1" applyBorder="1" applyAlignment="1" applyProtection="1">
      <alignment horizontal="left" vertical="top" wrapText="1"/>
    </xf>
    <xf numFmtId="0" fontId="1" fillId="3" borderId="22" xfId="1" applyFont="1" applyFill="1" applyBorder="1" applyAlignment="1" applyProtection="1">
      <alignment horizontal="left" vertical="top" wrapText="1"/>
    </xf>
    <xf numFmtId="0" fontId="1" fillId="8" borderId="12" xfId="0" applyFont="1" applyFill="1" applyBorder="1" applyAlignment="1" applyProtection="1">
      <alignment horizontal="left" vertical="top"/>
      <protection locked="0"/>
    </xf>
    <xf numFmtId="0" fontId="1" fillId="8" borderId="9" xfId="0" applyFont="1" applyFill="1" applyBorder="1" applyAlignment="1" applyProtection="1">
      <alignment horizontal="left" vertical="top" wrapText="1"/>
      <protection locked="0"/>
    </xf>
    <xf numFmtId="0" fontId="1" fillId="8" borderId="13" xfId="0" applyFont="1" applyFill="1" applyBorder="1" applyAlignment="1" applyProtection="1">
      <alignment horizontal="left" vertical="top" wrapText="1"/>
      <protection locked="0"/>
    </xf>
    <xf numFmtId="0" fontId="1" fillId="8" borderId="47" xfId="0" applyFont="1" applyFill="1" applyBorder="1" applyAlignment="1" applyProtection="1">
      <alignment horizontal="left" vertical="top" wrapText="1"/>
      <protection locked="0"/>
    </xf>
    <xf numFmtId="0" fontId="0" fillId="8" borderId="35" xfId="0" applyFill="1" applyBorder="1" applyAlignment="1">
      <alignment horizontal="left" vertical="top"/>
    </xf>
    <xf numFmtId="0" fontId="0" fillId="0" borderId="59" xfId="0" applyBorder="1" applyAlignment="1">
      <alignment horizontal="left" vertical="top" wrapText="1"/>
    </xf>
    <xf numFmtId="0" fontId="0" fillId="0" borderId="38" xfId="0" applyBorder="1" applyAlignment="1">
      <alignment horizontal="left" vertical="top" wrapText="1"/>
    </xf>
    <xf numFmtId="0" fontId="0" fillId="0" borderId="20" xfId="0" applyBorder="1" applyAlignment="1">
      <alignment horizontal="left" vertical="top"/>
    </xf>
    <xf numFmtId="0" fontId="0" fillId="0" borderId="61" xfId="0" applyBorder="1" applyAlignment="1">
      <alignment horizontal="left" vertical="top" wrapText="1"/>
    </xf>
    <xf numFmtId="0" fontId="0" fillId="0" borderId="60" xfId="0" applyBorder="1" applyAlignment="1">
      <alignment horizontal="left" vertical="top" wrapText="1"/>
    </xf>
    <xf numFmtId="0" fontId="0" fillId="0" borderId="49" xfId="0" applyBorder="1" applyAlignment="1">
      <alignment horizontal="left" vertical="top" wrapText="1"/>
    </xf>
    <xf numFmtId="0" fontId="17" fillId="8" borderId="1" xfId="0" applyFont="1" applyFill="1" applyBorder="1" applyAlignment="1" applyProtection="1">
      <alignment horizontal="left" vertical="top" wrapText="1"/>
      <protection locked="0"/>
    </xf>
    <xf numFmtId="0" fontId="5" fillId="0" borderId="68" xfId="0" applyFont="1" applyBorder="1" applyAlignment="1">
      <alignment horizontal="left" vertical="top" wrapText="1"/>
    </xf>
    <xf numFmtId="0" fontId="17" fillId="3" borderId="13" xfId="0" applyFont="1" applyFill="1" applyBorder="1" applyAlignment="1">
      <alignment horizontal="left" vertical="top" wrapText="1"/>
    </xf>
    <xf numFmtId="0" fontId="17" fillId="3" borderId="9" xfId="0" applyFont="1" applyFill="1" applyBorder="1" applyAlignment="1">
      <alignment horizontal="left" vertical="top" wrapText="1"/>
    </xf>
    <xf numFmtId="0" fontId="17" fillId="3" borderId="37"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73" xfId="0" applyFont="1" applyBorder="1" applyAlignment="1">
      <alignment horizontal="left" vertical="top" wrapText="1"/>
    </xf>
    <xf numFmtId="0" fontId="17" fillId="8" borderId="11" xfId="0" applyFont="1" applyFill="1" applyBorder="1" applyAlignment="1" applyProtection="1">
      <alignment horizontal="left" vertical="top" wrapText="1"/>
      <protection locked="0"/>
    </xf>
    <xf numFmtId="0" fontId="3" fillId="8" borderId="51" xfId="0" applyFont="1" applyFill="1" applyBorder="1" applyAlignment="1" applyProtection="1">
      <alignment horizontal="left" vertical="top" wrapText="1"/>
      <protection locked="0"/>
    </xf>
    <xf numFmtId="0" fontId="21" fillId="3" borderId="32" xfId="1" applyFill="1" applyBorder="1" applyAlignment="1" applyProtection="1">
      <alignment horizontal="left" vertical="top" wrapText="1"/>
    </xf>
    <xf numFmtId="0" fontId="5" fillId="8" borderId="40" xfId="0" applyFont="1" applyFill="1" applyBorder="1" applyAlignment="1" applyProtection="1">
      <alignment horizontal="left" vertical="top" wrapText="1"/>
      <protection locked="0"/>
    </xf>
    <xf numFmtId="0" fontId="3" fillId="8" borderId="34" xfId="0" applyFont="1" applyFill="1" applyBorder="1" applyAlignment="1" applyProtection="1">
      <alignment vertical="top" wrapText="1"/>
      <protection locked="0"/>
    </xf>
    <xf numFmtId="0" fontId="3" fillId="0" borderId="69" xfId="0" applyFont="1" applyBorder="1" applyAlignment="1">
      <alignment horizontal="left" vertical="top"/>
    </xf>
    <xf numFmtId="0" fontId="0" fillId="0" borderId="14" xfId="0" applyBorder="1"/>
    <xf numFmtId="0" fontId="17" fillId="0" borderId="47" xfId="0" applyFont="1" applyBorder="1" applyAlignment="1">
      <alignment horizontal="left" vertical="top" wrapText="1"/>
    </xf>
    <xf numFmtId="0" fontId="11" fillId="3" borderId="33" xfId="0" applyFont="1" applyFill="1" applyBorder="1" applyAlignment="1">
      <alignment horizontal="left" vertical="top"/>
    </xf>
    <xf numFmtId="0" fontId="17" fillId="3" borderId="3" xfId="0" applyFont="1" applyFill="1" applyBorder="1" applyAlignment="1">
      <alignment horizontal="left" vertical="top" wrapText="1"/>
    </xf>
    <xf numFmtId="0" fontId="1" fillId="3" borderId="0" xfId="0" applyFont="1" applyFill="1" applyAlignment="1" applyProtection="1">
      <alignment horizontal="left" vertical="center"/>
      <protection locked="0"/>
    </xf>
    <xf numFmtId="0" fontId="38" fillId="0" borderId="26" xfId="0" applyFont="1" applyBorder="1" applyAlignment="1">
      <alignment horizontal="left" vertical="top"/>
    </xf>
    <xf numFmtId="0" fontId="1" fillId="0" borderId="14" xfId="1" applyFont="1" applyFill="1" applyBorder="1" applyAlignment="1" applyProtection="1">
      <alignment horizontal="left" vertical="top"/>
      <protection locked="0"/>
    </xf>
    <xf numFmtId="0" fontId="39" fillId="0" borderId="0" xfId="0" applyFont="1" applyAlignment="1">
      <alignment horizontal="left" vertical="top"/>
    </xf>
    <xf numFmtId="0" fontId="21" fillId="0" borderId="12" xfId="1" applyBorder="1" applyAlignment="1">
      <alignment horizontal="left" vertical="top" wrapText="1"/>
    </xf>
    <xf numFmtId="0" fontId="3" fillId="8" borderId="24" xfId="0" applyFont="1" applyFill="1" applyBorder="1" applyAlignment="1" applyProtection="1">
      <alignment horizontal="left" vertical="top" wrapText="1"/>
      <protection locked="0"/>
    </xf>
    <xf numFmtId="0" fontId="17" fillId="8" borderId="3" xfId="0" applyFont="1" applyFill="1" applyBorder="1" applyAlignment="1" applyProtection="1">
      <alignment horizontal="left" vertical="top" wrapText="1"/>
      <protection locked="0"/>
    </xf>
    <xf numFmtId="0" fontId="9" fillId="0" borderId="73" xfId="0" applyFont="1" applyBorder="1" applyAlignment="1">
      <alignment horizontal="left" vertical="top" wrapText="1"/>
    </xf>
    <xf numFmtId="0" fontId="17" fillId="0" borderId="13" xfId="0" applyFont="1" applyBorder="1" applyAlignment="1">
      <alignment horizontal="left" vertical="top" wrapText="1"/>
    </xf>
    <xf numFmtId="0" fontId="8" fillId="0" borderId="22" xfId="0" applyFont="1" applyBorder="1" applyAlignment="1">
      <alignment horizontal="left" vertical="top" wrapText="1"/>
    </xf>
    <xf numFmtId="0" fontId="17" fillId="0" borderId="72" xfId="0" applyFont="1" applyBorder="1" applyAlignment="1">
      <alignment horizontal="left" vertical="top" wrapText="1"/>
    </xf>
    <xf numFmtId="0" fontId="17" fillId="0" borderId="9" xfId="0" applyFont="1" applyBorder="1" applyAlignment="1">
      <alignment horizontal="left" vertical="top" wrapText="1"/>
    </xf>
    <xf numFmtId="0" fontId="17" fillId="3" borderId="12" xfId="0" applyFont="1" applyFill="1" applyBorder="1" applyAlignment="1">
      <alignment horizontal="left" vertical="top" wrapText="1"/>
    </xf>
    <xf numFmtId="0" fontId="17" fillId="0" borderId="13" xfId="0" quotePrefix="1" applyFont="1" applyBorder="1" applyAlignment="1">
      <alignment horizontal="left" vertical="top" wrapText="1"/>
    </xf>
    <xf numFmtId="0" fontId="4" fillId="0" borderId="60" xfId="0" applyFont="1" applyBorder="1" applyAlignment="1">
      <alignment horizontal="left" vertical="top" wrapText="1"/>
    </xf>
    <xf numFmtId="0" fontId="4" fillId="0" borderId="67" xfId="0" applyFont="1" applyBorder="1" applyAlignment="1">
      <alignment horizontal="left" vertical="top" wrapText="1"/>
    </xf>
    <xf numFmtId="0" fontId="4" fillId="0" borderId="71" xfId="0" applyFont="1" applyBorder="1" applyAlignment="1">
      <alignment horizontal="left" vertical="top" wrapText="1"/>
    </xf>
    <xf numFmtId="0" fontId="4" fillId="0" borderId="33" xfId="0" applyFont="1" applyBorder="1" applyAlignment="1">
      <alignment horizontal="left" vertical="top" wrapText="1"/>
    </xf>
    <xf numFmtId="0" fontId="4" fillId="0" borderId="44" xfId="0" applyFont="1" applyBorder="1" applyAlignment="1">
      <alignment horizontal="left" vertical="top" wrapText="1"/>
    </xf>
    <xf numFmtId="0" fontId="35" fillId="0" borderId="0" xfId="0" applyFont="1" applyAlignment="1">
      <alignment horizontal="left" vertical="top" wrapText="1"/>
    </xf>
    <xf numFmtId="0" fontId="17" fillId="8" borderId="57" xfId="0" applyFont="1" applyFill="1" applyBorder="1" applyAlignment="1" applyProtection="1">
      <alignment horizontal="left" vertical="top" wrapText="1"/>
      <protection locked="0"/>
    </xf>
    <xf numFmtId="0" fontId="17" fillId="8" borderId="49" xfId="0" applyFont="1" applyFill="1" applyBorder="1" applyAlignment="1" applyProtection="1">
      <alignment horizontal="left" vertical="top" wrapText="1"/>
      <protection locked="0"/>
    </xf>
    <xf numFmtId="10" fontId="17" fillId="8" borderId="2" xfId="0" applyNumberFormat="1" applyFont="1" applyFill="1" applyBorder="1" applyAlignment="1" applyProtection="1">
      <alignment horizontal="left" vertical="top" wrapText="1"/>
      <protection locked="0"/>
    </xf>
    <xf numFmtId="0" fontId="17" fillId="8" borderId="36" xfId="0" applyFont="1" applyFill="1" applyBorder="1" applyAlignment="1" applyProtection="1">
      <alignment horizontal="left" vertical="top" wrapText="1"/>
      <protection locked="0"/>
    </xf>
    <xf numFmtId="3" fontId="17" fillId="8" borderId="3" xfId="0" applyNumberFormat="1" applyFont="1" applyFill="1" applyBorder="1" applyAlignment="1" applyProtection="1">
      <alignment horizontal="left" vertical="top" wrapText="1"/>
      <protection locked="0"/>
    </xf>
    <xf numFmtId="0" fontId="4" fillId="0" borderId="74" xfId="0" applyFont="1" applyBorder="1" applyAlignment="1">
      <alignment horizontal="left" vertical="top" wrapText="1"/>
    </xf>
    <xf numFmtId="0" fontId="17" fillId="3" borderId="46" xfId="0" applyFont="1" applyFill="1" applyBorder="1" applyAlignment="1">
      <alignment horizontal="left" vertical="top" wrapText="1"/>
    </xf>
    <xf numFmtId="0" fontId="0" fillId="0" borderId="36" xfId="0" applyBorder="1"/>
    <xf numFmtId="0" fontId="0" fillId="0" borderId="51" xfId="0" applyBorder="1" applyAlignment="1">
      <alignment horizontal="left" vertical="top" wrapText="1"/>
    </xf>
    <xf numFmtId="0" fontId="0" fillId="0" borderId="51" xfId="0" quotePrefix="1" applyBorder="1" applyAlignment="1">
      <alignment horizontal="left" vertical="top" wrapText="1"/>
    </xf>
    <xf numFmtId="0" fontId="0" fillId="0" borderId="51" xfId="0" applyBorder="1"/>
    <xf numFmtId="0" fontId="3" fillId="0" borderId="43" xfId="0" applyFont="1" applyBorder="1" applyAlignment="1">
      <alignment horizontal="left" vertical="top" wrapText="1"/>
    </xf>
    <xf numFmtId="0" fontId="3" fillId="0" borderId="51" xfId="0" quotePrefix="1" applyFont="1" applyBorder="1" applyAlignment="1">
      <alignment horizontal="left" vertical="top" wrapText="1"/>
    </xf>
    <xf numFmtId="0" fontId="0" fillId="0" borderId="3" xfId="0" applyBorder="1" applyAlignment="1">
      <alignment horizontal="left" vertical="top" wrapText="1"/>
    </xf>
    <xf numFmtId="0" fontId="4" fillId="8" borderId="58" xfId="0" applyFont="1" applyFill="1" applyBorder="1" applyAlignment="1" applyProtection="1">
      <alignment horizontal="left" vertical="top" wrapText="1"/>
      <protection locked="0"/>
    </xf>
    <xf numFmtId="0" fontId="5" fillId="8" borderId="29" xfId="0" applyFont="1" applyFill="1" applyBorder="1" applyAlignment="1" applyProtection="1">
      <alignment horizontal="left" vertical="top" wrapText="1"/>
      <protection locked="0"/>
    </xf>
    <xf numFmtId="14" fontId="17" fillId="8" borderId="3" xfId="0" applyNumberFormat="1" applyFont="1" applyFill="1" applyBorder="1" applyAlignment="1" applyProtection="1">
      <alignment horizontal="left" vertical="top" wrapText="1"/>
      <protection locked="0"/>
    </xf>
    <xf numFmtId="14" fontId="17" fillId="8" borderId="2" xfId="0" applyNumberFormat="1" applyFont="1" applyFill="1" applyBorder="1" applyAlignment="1" applyProtection="1">
      <alignment horizontal="left" vertical="top" wrapText="1"/>
      <protection locked="0"/>
    </xf>
    <xf numFmtId="43" fontId="17" fillId="3" borderId="3" xfId="0" applyNumberFormat="1" applyFont="1" applyFill="1" applyBorder="1" applyAlignment="1">
      <alignment horizontal="left" vertical="top" wrapText="1"/>
    </xf>
    <xf numFmtId="43" fontId="17" fillId="3" borderId="2" xfId="0" applyNumberFormat="1" applyFont="1" applyFill="1" applyBorder="1" applyAlignment="1">
      <alignment horizontal="left" vertical="top" wrapText="1"/>
    </xf>
    <xf numFmtId="0" fontId="17" fillId="0" borderId="52" xfId="0" quotePrefix="1" applyFont="1" applyBorder="1" applyAlignment="1">
      <alignment horizontal="left" vertical="top" wrapText="1"/>
    </xf>
    <xf numFmtId="0" fontId="17" fillId="0" borderId="1" xfId="0" quotePrefix="1" applyFont="1" applyBorder="1" applyAlignment="1">
      <alignment horizontal="left" vertical="top" wrapText="1"/>
    </xf>
    <xf numFmtId="0" fontId="17" fillId="0" borderId="1" xfId="0" applyFont="1" applyBorder="1" applyAlignment="1">
      <alignment horizontal="left" vertical="top" wrapText="1"/>
    </xf>
    <xf numFmtId="49" fontId="17" fillId="0" borderId="49" xfId="0" applyNumberFormat="1" applyFont="1" applyBorder="1" applyAlignment="1">
      <alignment horizontal="left" vertical="top" wrapText="1"/>
    </xf>
    <xf numFmtId="49" fontId="17" fillId="0" borderId="52" xfId="0" applyNumberFormat="1" applyFont="1" applyBorder="1" applyAlignment="1">
      <alignment horizontal="left" vertical="top" wrapText="1"/>
    </xf>
    <xf numFmtId="0" fontId="17" fillId="0" borderId="70" xfId="0" applyFont="1" applyBorder="1" applyAlignment="1">
      <alignment horizontal="left" vertical="top" wrapText="1"/>
    </xf>
    <xf numFmtId="0" fontId="17" fillId="0" borderId="7"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quotePrefix="1" applyFont="1" applyBorder="1" applyAlignment="1">
      <alignment horizontal="left" vertical="top" wrapText="1"/>
    </xf>
    <xf numFmtId="0" fontId="17" fillId="0" borderId="28" xfId="0" applyFont="1" applyBorder="1" applyAlignment="1">
      <alignment horizontal="left" vertical="top" wrapText="1"/>
    </xf>
    <xf numFmtId="0" fontId="17" fillId="0" borderId="3" xfId="0" applyFont="1" applyBorder="1" applyAlignment="1">
      <alignment horizontal="left" vertical="top" wrapText="1"/>
    </xf>
    <xf numFmtId="0" fontId="17" fillId="0" borderId="36" xfId="0" applyFont="1" applyBorder="1" applyAlignment="1">
      <alignment horizontal="left" vertical="top" wrapText="1"/>
    </xf>
    <xf numFmtId="0" fontId="17" fillId="3" borderId="1" xfId="0" applyFont="1" applyFill="1" applyBorder="1" applyAlignment="1">
      <alignment horizontal="left" vertical="top" wrapText="1"/>
    </xf>
    <xf numFmtId="0" fontId="17" fillId="0" borderId="11" xfId="0" applyFont="1" applyBorder="1" applyAlignment="1">
      <alignment horizontal="left" vertical="top" wrapText="1"/>
    </xf>
    <xf numFmtId="0" fontId="17" fillId="0" borderId="19" xfId="0" applyFont="1" applyBorder="1" applyAlignment="1">
      <alignment horizontal="left" vertical="top" wrapText="1"/>
    </xf>
    <xf numFmtId="0" fontId="17" fillId="0" borderId="8" xfId="0" applyFont="1" applyBorder="1" applyAlignment="1">
      <alignment horizontal="left" vertical="top" wrapText="1"/>
    </xf>
    <xf numFmtId="0" fontId="4" fillId="0" borderId="48" xfId="0" applyFont="1" applyBorder="1" applyAlignment="1">
      <alignment horizontal="left" vertical="top" wrapText="1"/>
    </xf>
    <xf numFmtId="0" fontId="17" fillId="0" borderId="45" xfId="0" applyFont="1" applyBorder="1" applyAlignment="1">
      <alignment horizontal="left" vertical="top" wrapText="1"/>
    </xf>
    <xf numFmtId="0" fontId="17" fillId="0" borderId="46" xfId="0" applyFont="1" applyBorder="1" applyAlignment="1">
      <alignment horizontal="left" vertical="top" wrapText="1"/>
    </xf>
    <xf numFmtId="0" fontId="5" fillId="8" borderId="0" xfId="0" applyFont="1" applyFill="1" applyAlignment="1" applyProtection="1">
      <alignment horizontal="left" vertical="top" wrapText="1"/>
      <protection locked="0"/>
    </xf>
    <xf numFmtId="0" fontId="0" fillId="0" borderId="53" xfId="0" applyBorder="1" applyAlignment="1">
      <alignment horizontal="left" vertical="top" wrapText="1"/>
    </xf>
    <xf numFmtId="0" fontId="3" fillId="0" borderId="63" xfId="0" applyFont="1" applyBorder="1" applyAlignment="1">
      <alignment horizontal="left" vertical="top" wrapText="1"/>
    </xf>
    <xf numFmtId="0" fontId="32" fillId="0" borderId="0" xfId="0" applyFont="1" applyAlignment="1">
      <alignment horizontal="right" vertical="center"/>
    </xf>
    <xf numFmtId="0" fontId="0" fillId="0" borderId="0" xfId="0" applyAlignment="1">
      <alignment horizontal="right"/>
    </xf>
    <xf numFmtId="0" fontId="0" fillId="0" borderId="0" xfId="0" applyAlignment="1">
      <alignment wrapText="1"/>
    </xf>
    <xf numFmtId="0" fontId="0" fillId="0" borderId="0" xfId="0" applyAlignment="1">
      <alignment horizontal="right" vertical="top"/>
    </xf>
    <xf numFmtId="0" fontId="8" fillId="0" borderId="19" xfId="0" applyFont="1" applyBorder="1" applyAlignment="1">
      <alignment horizontal="center" vertical="top" wrapText="1"/>
    </xf>
    <xf numFmtId="0" fontId="8" fillId="0" borderId="29" xfId="0" applyFont="1" applyBorder="1" applyAlignment="1">
      <alignment horizontal="center" vertical="top" wrapText="1"/>
    </xf>
    <xf numFmtId="0" fontId="3" fillId="0" borderId="14" xfId="0" applyFont="1" applyBorder="1" applyAlignment="1">
      <alignment horizontal="left" vertical="top"/>
    </xf>
    <xf numFmtId="0" fontId="3" fillId="0" borderId="39" xfId="0" applyFont="1" applyBorder="1" applyAlignment="1">
      <alignment horizontal="left" vertical="top"/>
    </xf>
    <xf numFmtId="0" fontId="21" fillId="0" borderId="32" xfId="1" applyFill="1" applyBorder="1" applyAlignment="1">
      <alignment horizontal="left" vertical="top"/>
    </xf>
    <xf numFmtId="0" fontId="21" fillId="0" borderId="31" xfId="1" applyFill="1" applyBorder="1" applyAlignment="1">
      <alignment horizontal="left" vertical="top"/>
    </xf>
    <xf numFmtId="0" fontId="21" fillId="0" borderId="33" xfId="1" applyFill="1" applyBorder="1" applyAlignment="1">
      <alignment horizontal="left" vertical="top"/>
    </xf>
    <xf numFmtId="0" fontId="3" fillId="0" borderId="29" xfId="0" applyFont="1" applyBorder="1" applyAlignment="1">
      <alignment horizontal="left" vertical="top"/>
    </xf>
    <xf numFmtId="0" fontId="3" fillId="0" borderId="19" xfId="0" applyFont="1" applyBorder="1" applyAlignment="1">
      <alignment horizontal="left" vertical="top"/>
    </xf>
    <xf numFmtId="0" fontId="5" fillId="0" borderId="29" xfId="0" applyFont="1" applyBorder="1" applyAlignment="1">
      <alignment horizontal="left" vertical="top"/>
    </xf>
    <xf numFmtId="0" fontId="8" fillId="0" borderId="20" xfId="0" applyFont="1" applyBorder="1" applyAlignment="1">
      <alignment horizontal="left" vertical="top"/>
    </xf>
    <xf numFmtId="0" fontId="34" fillId="10" borderId="60" xfId="0" applyFont="1" applyFill="1" applyBorder="1" applyAlignment="1">
      <alignment horizontal="left" vertical="top" wrapText="1"/>
    </xf>
    <xf numFmtId="0" fontId="34" fillId="10" borderId="33" xfId="0" applyFont="1" applyFill="1" applyBorder="1" applyAlignment="1">
      <alignment horizontal="left" vertical="top" wrapText="1"/>
    </xf>
    <xf numFmtId="0" fontId="29" fillId="0" borderId="58" xfId="0" applyFont="1" applyBorder="1" applyAlignment="1">
      <alignment horizontal="left" vertical="top" wrapText="1"/>
    </xf>
    <xf numFmtId="0" fontId="29" fillId="0" borderId="25" xfId="0" applyFont="1" applyBorder="1" applyAlignment="1">
      <alignment horizontal="left" vertical="top" wrapText="1"/>
    </xf>
    <xf numFmtId="0" fontId="29" fillId="0" borderId="59" xfId="0" applyFont="1" applyBorder="1" applyAlignment="1">
      <alignment horizontal="left" vertical="top" wrapText="1"/>
    </xf>
    <xf numFmtId="0" fontId="29" fillId="0" borderId="61" xfId="0" applyFont="1" applyBorder="1" applyAlignment="1">
      <alignment horizontal="left" vertical="top" wrapText="1"/>
    </xf>
    <xf numFmtId="0" fontId="45" fillId="0" borderId="61" xfId="0" applyFont="1" applyBorder="1" applyAlignment="1">
      <alignment horizontal="left" vertical="top" wrapText="1"/>
    </xf>
    <xf numFmtId="0" fontId="45" fillId="0" borderId="58" xfId="0" applyFont="1" applyBorder="1" applyAlignment="1">
      <alignment horizontal="left" vertical="top" wrapText="1"/>
    </xf>
    <xf numFmtId="0" fontId="17" fillId="0" borderId="29" xfId="0" applyFont="1" applyBorder="1" applyAlignment="1">
      <alignment horizontal="left" vertical="top"/>
    </xf>
    <xf numFmtId="0" fontId="34" fillId="7" borderId="60" xfId="0" applyFont="1" applyFill="1" applyBorder="1" applyAlignment="1">
      <alignment horizontal="left" vertical="top" wrapText="1"/>
    </xf>
    <xf numFmtId="0" fontId="34" fillId="7" borderId="33" xfId="0" applyFont="1" applyFill="1" applyBorder="1" applyAlignment="1">
      <alignment horizontal="left" vertical="top" wrapText="1"/>
    </xf>
    <xf numFmtId="3" fontId="29" fillId="0" borderId="25" xfId="0" applyNumberFormat="1" applyFont="1" applyBorder="1" applyAlignment="1">
      <alignment horizontal="left" vertical="top" wrapText="1"/>
    </xf>
    <xf numFmtId="0" fontId="17" fillId="0" borderId="26" xfId="0" applyFont="1" applyBorder="1" applyAlignment="1">
      <alignment horizontal="left" vertical="top"/>
    </xf>
    <xf numFmtId="0" fontId="17" fillId="0" borderId="25" xfId="0" applyFont="1" applyBorder="1" applyAlignment="1">
      <alignment horizontal="left" vertical="top"/>
    </xf>
    <xf numFmtId="0" fontId="27" fillId="8" borderId="61" xfId="0" applyFont="1" applyFill="1" applyBorder="1" applyAlignment="1" applyProtection="1">
      <alignment horizontal="left" vertical="top" wrapText="1"/>
      <protection locked="0"/>
    </xf>
    <xf numFmtId="0" fontId="17" fillId="3" borderId="8"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16"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23"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38" xfId="0" applyFont="1" applyFill="1" applyBorder="1" applyAlignment="1">
      <alignment horizontal="left" vertical="top" wrapText="1"/>
    </xf>
    <xf numFmtId="0" fontId="17" fillId="0" borderId="66" xfId="0" applyFont="1" applyBorder="1" applyAlignment="1">
      <alignment horizontal="left" vertical="top" wrapText="1"/>
    </xf>
    <xf numFmtId="0" fontId="1" fillId="3" borderId="20" xfId="0" applyFont="1" applyFill="1" applyBorder="1" applyAlignment="1">
      <alignment horizontal="left" vertical="top" wrapText="1"/>
    </xf>
    <xf numFmtId="0" fontId="21" fillId="3" borderId="31" xfId="1" applyFill="1" applyBorder="1" applyAlignment="1" applyProtection="1">
      <alignment horizontal="left" vertical="top" wrapText="1"/>
    </xf>
    <xf numFmtId="0" fontId="0" fillId="8" borderId="61" xfId="0" applyFill="1" applyBorder="1" applyAlignment="1" applyProtection="1">
      <alignment horizontal="left" vertical="top" wrapText="1"/>
      <protection locked="0"/>
    </xf>
    <xf numFmtId="0" fontId="0" fillId="8" borderId="61" xfId="0" applyFill="1" applyBorder="1" applyAlignment="1" applyProtection="1">
      <alignment horizontal="left" vertical="top"/>
      <protection locked="0"/>
    </xf>
    <xf numFmtId="0" fontId="12" fillId="3" borderId="7" xfId="1" applyFont="1" applyFill="1" applyBorder="1" applyAlignment="1" applyProtection="1">
      <alignment horizontal="left" vertical="top" wrapText="1"/>
    </xf>
    <xf numFmtId="0" fontId="12" fillId="3" borderId="18" xfId="1" applyFont="1" applyFill="1" applyBorder="1" applyAlignment="1" applyProtection="1">
      <alignment horizontal="left" vertical="top" wrapText="1"/>
    </xf>
    <xf numFmtId="0" fontId="1" fillId="8" borderId="13" xfId="1" applyFont="1" applyFill="1" applyBorder="1" applyAlignment="1" applyProtection="1">
      <alignment horizontal="left" vertical="top" wrapText="1"/>
      <protection locked="0"/>
    </xf>
    <xf numFmtId="0" fontId="1" fillId="8" borderId="9" xfId="1" applyFont="1" applyFill="1" applyBorder="1" applyAlignment="1" applyProtection="1">
      <alignment horizontal="left" vertical="top" wrapText="1"/>
      <protection locked="0"/>
    </xf>
    <xf numFmtId="0" fontId="36" fillId="8" borderId="29" xfId="0" applyFont="1" applyFill="1" applyBorder="1" applyAlignment="1" applyProtection="1">
      <alignment horizontal="left" vertical="top"/>
      <protection locked="0"/>
    </xf>
    <xf numFmtId="14" fontId="1" fillId="8" borderId="9" xfId="1" applyNumberFormat="1" applyFont="1" applyFill="1" applyBorder="1" applyAlignment="1" applyProtection="1">
      <alignment horizontal="left" vertical="top" wrapText="1"/>
      <protection locked="0"/>
    </xf>
    <xf numFmtId="0" fontId="4" fillId="3" borderId="7" xfId="0" applyFont="1" applyFill="1" applyBorder="1" applyAlignment="1">
      <alignment horizontal="left" vertical="top" wrapText="1"/>
    </xf>
    <xf numFmtId="0" fontId="4" fillId="3" borderId="13" xfId="0" applyFont="1" applyFill="1" applyBorder="1" applyAlignment="1">
      <alignment horizontal="left" vertical="top"/>
    </xf>
    <xf numFmtId="0" fontId="17" fillId="8" borderId="9" xfId="0" applyFont="1" applyFill="1" applyBorder="1" applyAlignment="1" applyProtection="1">
      <alignment horizontal="left" vertical="top"/>
      <protection locked="0"/>
    </xf>
    <xf numFmtId="0" fontId="17" fillId="8" borderId="9" xfId="0" applyFont="1" applyFill="1" applyBorder="1" applyAlignment="1" applyProtection="1">
      <alignment horizontal="left" vertical="top" wrapText="1"/>
      <protection locked="0"/>
    </xf>
    <xf numFmtId="0" fontId="17" fillId="3" borderId="70" xfId="0" applyFont="1" applyFill="1" applyBorder="1" applyAlignment="1">
      <alignment horizontal="left" vertical="top" wrapText="1"/>
    </xf>
    <xf numFmtId="0" fontId="17" fillId="8" borderId="37" xfId="0" applyFont="1" applyFill="1" applyBorder="1" applyAlignment="1" applyProtection="1">
      <alignment horizontal="left" vertical="top" wrapText="1"/>
      <protection locked="0"/>
    </xf>
    <xf numFmtId="0" fontId="4" fillId="3" borderId="12"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8" borderId="13" xfId="0" applyFont="1" applyFill="1" applyBorder="1" applyAlignment="1" applyProtection="1">
      <alignment horizontal="left" vertical="top"/>
      <protection locked="0"/>
    </xf>
    <xf numFmtId="0" fontId="12" fillId="3" borderId="68" xfId="0" applyFont="1" applyFill="1" applyBorder="1" applyAlignment="1">
      <alignment horizontal="left" vertical="top" wrapText="1"/>
    </xf>
    <xf numFmtId="0" fontId="12" fillId="3" borderId="71" xfId="0" applyFont="1" applyFill="1" applyBorder="1" applyAlignment="1">
      <alignment horizontal="left" vertical="top" wrapText="1"/>
    </xf>
    <xf numFmtId="165" fontId="1" fillId="8" borderId="9" xfId="0" applyNumberFormat="1" applyFont="1" applyFill="1" applyBorder="1" applyAlignment="1" applyProtection="1">
      <alignment horizontal="left" vertical="top" wrapText="1"/>
      <protection locked="0"/>
    </xf>
    <xf numFmtId="164" fontId="1" fillId="8" borderId="9" xfId="0" applyNumberFormat="1" applyFont="1" applyFill="1" applyBorder="1" applyAlignment="1" applyProtection="1">
      <alignment horizontal="left" vertical="top" wrapText="1"/>
      <protection locked="0"/>
    </xf>
    <xf numFmtId="0" fontId="1" fillId="3" borderId="70" xfId="0" applyFont="1" applyFill="1" applyBorder="1" applyAlignment="1">
      <alignment horizontal="left" vertical="top" wrapText="1"/>
    </xf>
    <xf numFmtId="0" fontId="21" fillId="8" borderId="37" xfId="1" applyFill="1" applyBorder="1" applyAlignment="1" applyProtection="1">
      <alignment horizontal="left" vertical="top" wrapText="1"/>
      <protection locked="0"/>
    </xf>
    <xf numFmtId="0" fontId="12" fillId="3" borderId="10" xfId="0" applyFont="1" applyFill="1" applyBorder="1" applyAlignment="1">
      <alignment horizontal="left" vertical="top" wrapText="1"/>
    </xf>
    <xf numFmtId="0" fontId="12" fillId="3" borderId="16" xfId="0" applyFont="1" applyFill="1" applyBorder="1" applyAlignment="1">
      <alignment horizontal="left" vertical="top" wrapText="1"/>
    </xf>
    <xf numFmtId="164" fontId="3" fillId="8" borderId="29" xfId="0" applyNumberFormat="1" applyFont="1" applyFill="1" applyBorder="1" applyAlignment="1" applyProtection="1">
      <alignment horizontal="left" vertical="top"/>
      <protection locked="0"/>
    </xf>
    <xf numFmtId="0" fontId="12" fillId="0" borderId="48" xfId="0" applyFont="1" applyBorder="1" applyAlignment="1">
      <alignment horizontal="left" vertical="top" wrapText="1"/>
    </xf>
    <xf numFmtId="0" fontId="12" fillId="0" borderId="29" xfId="0" applyFont="1" applyBorder="1" applyAlignment="1">
      <alignment horizontal="left" vertical="top"/>
    </xf>
    <xf numFmtId="0" fontId="1" fillId="8" borderId="69" xfId="0" applyFont="1" applyFill="1" applyBorder="1" applyAlignment="1" applyProtection="1">
      <alignment horizontal="left" vertical="top"/>
      <protection locked="0"/>
    </xf>
    <xf numFmtId="0" fontId="12" fillId="3" borderId="12" xfId="0" applyFont="1" applyFill="1" applyBorder="1" applyAlignment="1">
      <alignment horizontal="left" vertical="top" wrapText="1"/>
    </xf>
    <xf numFmtId="0" fontId="1" fillId="8" borderId="7" xfId="0" applyFont="1" applyFill="1" applyBorder="1" applyAlignment="1" applyProtection="1">
      <alignment horizontal="left" vertical="top" wrapText="1"/>
      <protection locked="0"/>
    </xf>
    <xf numFmtId="0" fontId="1" fillId="8" borderId="8" xfId="0" applyFont="1" applyFill="1" applyBorder="1" applyAlignment="1" applyProtection="1">
      <alignment horizontal="left" vertical="top" wrapText="1"/>
      <protection locked="0"/>
    </xf>
    <xf numFmtId="0" fontId="1" fillId="8" borderId="10" xfId="0" applyFont="1" applyFill="1" applyBorder="1" applyAlignment="1" applyProtection="1">
      <alignment horizontal="left" vertical="top" wrapText="1"/>
      <protection locked="0"/>
    </xf>
    <xf numFmtId="49" fontId="1" fillId="8" borderId="12" xfId="0" applyNumberFormat="1" applyFont="1" applyFill="1" applyBorder="1" applyAlignment="1" applyProtection="1">
      <alignment horizontal="left" vertical="top" wrapText="1"/>
      <protection locked="0"/>
    </xf>
    <xf numFmtId="0" fontId="1" fillId="3" borderId="9" xfId="0" applyFont="1" applyFill="1" applyBorder="1" applyAlignment="1">
      <alignment horizontal="left" vertical="top" wrapText="1"/>
    </xf>
    <xf numFmtId="0" fontId="1" fillId="8" borderId="37" xfId="0" applyFont="1" applyFill="1" applyBorder="1" applyAlignment="1" applyProtection="1">
      <alignment horizontal="left" vertical="top" wrapText="1"/>
      <protection locked="0"/>
    </xf>
    <xf numFmtId="0" fontId="1" fillId="0" borderId="19" xfId="0" applyFont="1" applyBorder="1" applyAlignment="1">
      <alignment horizontal="left" vertical="top" wrapText="1"/>
    </xf>
    <xf numFmtId="0" fontId="1" fillId="8" borderId="71" xfId="0" applyFont="1" applyFill="1" applyBorder="1" applyAlignment="1" applyProtection="1">
      <alignment horizontal="left" vertical="top"/>
      <protection locked="0"/>
    </xf>
    <xf numFmtId="0" fontId="37" fillId="8" borderId="29" xfId="0" applyFont="1" applyFill="1" applyBorder="1" applyAlignment="1" applyProtection="1">
      <alignment horizontal="left" vertical="top"/>
      <protection locked="0"/>
    </xf>
    <xf numFmtId="0" fontId="1" fillId="8" borderId="37" xfId="0" applyFont="1" applyFill="1" applyBorder="1" applyAlignment="1" applyProtection="1">
      <alignment horizontal="left" vertical="top"/>
      <protection locked="0"/>
    </xf>
    <xf numFmtId="0" fontId="12" fillId="3" borderId="12" xfId="0" applyFont="1" applyFill="1" applyBorder="1" applyAlignment="1">
      <alignment horizontal="left" vertical="top"/>
    </xf>
    <xf numFmtId="0" fontId="4" fillId="0" borderId="10" xfId="1" applyFont="1" applyBorder="1" applyAlignment="1" applyProtection="1">
      <alignment horizontal="left" vertical="top" wrapText="1"/>
    </xf>
    <xf numFmtId="0" fontId="4" fillId="0" borderId="16" xfId="1" applyFont="1" applyBorder="1" applyAlignment="1" applyProtection="1">
      <alignment horizontal="left" vertical="top" wrapText="1"/>
    </xf>
    <xf numFmtId="0" fontId="4" fillId="3" borderId="68" xfId="1" applyFont="1" applyFill="1" applyBorder="1" applyAlignment="1" applyProtection="1">
      <alignment horizontal="left" vertical="top" wrapText="1"/>
    </xf>
    <xf numFmtId="0" fontId="1" fillId="3" borderId="73" xfId="0" applyFont="1" applyFill="1" applyBorder="1" applyAlignment="1">
      <alignment horizontal="left" vertical="top" wrapText="1"/>
    </xf>
    <xf numFmtId="0" fontId="1" fillId="8" borderId="72" xfId="0" applyFont="1" applyFill="1" applyBorder="1" applyAlignment="1" applyProtection="1">
      <alignment horizontal="left" vertical="top" wrapText="1"/>
      <protection locked="0"/>
    </xf>
    <xf numFmtId="0" fontId="4" fillId="0" borderId="48" xfId="1" applyFont="1" applyFill="1" applyBorder="1" applyAlignment="1" applyProtection="1">
      <alignment horizontal="left" vertical="top" wrapText="1"/>
    </xf>
    <xf numFmtId="0" fontId="4" fillId="0" borderId="25" xfId="0" applyFont="1" applyBorder="1" applyAlignment="1">
      <alignment horizontal="left" vertical="top" wrapText="1"/>
    </xf>
    <xf numFmtId="0" fontId="12" fillId="3" borderId="19" xfId="0" applyFont="1" applyFill="1" applyBorder="1" applyAlignment="1">
      <alignment horizontal="left" vertical="top" wrapText="1"/>
    </xf>
    <xf numFmtId="0" fontId="1" fillId="8" borderId="72" xfId="0" applyFont="1" applyFill="1" applyBorder="1" applyAlignment="1" applyProtection="1">
      <alignment horizontal="left" vertical="top"/>
      <protection locked="0"/>
    </xf>
    <xf numFmtId="0" fontId="12" fillId="3" borderId="45" xfId="0" applyFont="1" applyFill="1" applyBorder="1" applyAlignment="1">
      <alignment horizontal="left" vertical="top" wrapText="1"/>
    </xf>
    <xf numFmtId="0" fontId="4" fillId="3" borderId="73" xfId="0" applyFont="1" applyFill="1" applyBorder="1" applyAlignment="1">
      <alignment horizontal="left" vertical="top" wrapText="1"/>
    </xf>
    <xf numFmtId="0" fontId="1" fillId="8" borderId="6" xfId="0" applyFont="1" applyFill="1" applyBorder="1" applyAlignment="1" applyProtection="1">
      <alignment horizontal="left" vertical="top"/>
      <protection locked="0"/>
    </xf>
    <xf numFmtId="0" fontId="17" fillId="8" borderId="66" xfId="0" applyFont="1" applyFill="1" applyBorder="1" applyAlignment="1" applyProtection="1">
      <alignment horizontal="left" vertical="top" wrapText="1"/>
      <protection locked="0"/>
    </xf>
    <xf numFmtId="0" fontId="17" fillId="0" borderId="54" xfId="0" applyFont="1" applyBorder="1" applyAlignment="1">
      <alignment horizontal="left" vertical="top" wrapText="1"/>
    </xf>
    <xf numFmtId="49" fontId="3" fillId="0" borderId="68" xfId="0" applyNumberFormat="1" applyFont="1" applyBorder="1" applyAlignment="1">
      <alignment horizontal="left" vertical="top" wrapText="1"/>
    </xf>
    <xf numFmtId="0" fontId="3" fillId="0" borderId="66" xfId="0" applyFont="1" applyBorder="1" applyAlignment="1">
      <alignment horizontal="left" vertical="top" wrapText="1"/>
    </xf>
    <xf numFmtId="0" fontId="17" fillId="8" borderId="67" xfId="0" applyFont="1" applyFill="1" applyBorder="1" applyAlignment="1" applyProtection="1">
      <alignment horizontal="left" vertical="top" wrapText="1"/>
      <protection locked="0"/>
    </xf>
    <xf numFmtId="0" fontId="17" fillId="3" borderId="44" xfId="0" applyFont="1" applyFill="1" applyBorder="1" applyAlignment="1">
      <alignment horizontal="left" vertical="top" wrapText="1"/>
    </xf>
    <xf numFmtId="0" fontId="3" fillId="0" borderId="73" xfId="0" applyFont="1" applyBorder="1" applyAlignment="1">
      <alignment horizontal="left" vertical="top" wrapText="1"/>
    </xf>
    <xf numFmtId="0" fontId="17" fillId="0" borderId="73" xfId="0" applyFont="1" applyBorder="1" applyAlignment="1">
      <alignment horizontal="left" vertical="top" wrapText="1"/>
    </xf>
    <xf numFmtId="0" fontId="17" fillId="0" borderId="20" xfId="0" applyFont="1" applyBorder="1" applyAlignment="1">
      <alignment horizontal="left" vertical="top" wrapText="1"/>
    </xf>
    <xf numFmtId="0" fontId="17" fillId="8" borderId="42" xfId="0" applyFont="1" applyFill="1" applyBorder="1" applyAlignment="1" applyProtection="1">
      <alignment horizontal="left" vertical="top" wrapText="1"/>
      <protection locked="0"/>
    </xf>
    <xf numFmtId="49" fontId="3" fillId="0" borderId="73" xfId="0" applyNumberFormat="1" applyFont="1" applyBorder="1" applyAlignment="1">
      <alignment horizontal="left" vertical="top" wrapText="1"/>
    </xf>
    <xf numFmtId="49" fontId="8" fillId="0" borderId="73" xfId="0" applyNumberFormat="1" applyFont="1" applyBorder="1" applyAlignment="1">
      <alignment horizontal="left" vertical="top" wrapText="1"/>
    </xf>
    <xf numFmtId="0" fontId="17" fillId="0" borderId="37" xfId="0" applyFont="1" applyBorder="1" applyAlignment="1">
      <alignment horizontal="left" vertical="top" wrapText="1"/>
    </xf>
    <xf numFmtId="0" fontId="3" fillId="0" borderId="68" xfId="0" applyFont="1" applyBorder="1" applyAlignment="1">
      <alignment horizontal="left" vertical="top" wrapText="1"/>
    </xf>
    <xf numFmtId="0" fontId="17" fillId="3" borderId="25" xfId="0" applyFont="1" applyFill="1" applyBorder="1" applyAlignment="1">
      <alignment horizontal="left" vertical="top" wrapText="1"/>
    </xf>
    <xf numFmtId="43" fontId="17" fillId="0" borderId="3" xfId="0" applyNumberFormat="1" applyFont="1" applyBorder="1" applyAlignment="1">
      <alignment horizontal="left" vertical="top" wrapText="1"/>
    </xf>
    <xf numFmtId="0" fontId="2" fillId="11" borderId="29" xfId="0" applyFont="1" applyFill="1" applyBorder="1" applyAlignment="1" applyProtection="1">
      <alignment horizontal="left" vertical="center" wrapText="1" shrinkToFit="1"/>
      <protection locked="0"/>
    </xf>
    <xf numFmtId="0" fontId="17" fillId="8" borderId="29" xfId="0" applyFont="1" applyFill="1" applyBorder="1" applyAlignment="1" applyProtection="1">
      <alignment horizontal="left" vertical="top" wrapText="1"/>
      <protection locked="0"/>
    </xf>
    <xf numFmtId="0" fontId="5" fillId="8" borderId="61" xfId="0" applyFont="1" applyFill="1" applyBorder="1" applyAlignment="1" applyProtection="1">
      <alignment horizontal="left" vertical="top" wrapText="1"/>
      <protection locked="0"/>
    </xf>
    <xf numFmtId="0" fontId="17" fillId="8" borderId="19" xfId="0" applyFont="1" applyFill="1" applyBorder="1" applyAlignment="1" applyProtection="1">
      <alignment horizontal="left" vertical="top" wrapText="1"/>
      <protection locked="0"/>
    </xf>
    <xf numFmtId="0" fontId="4" fillId="8" borderId="61" xfId="0" applyFont="1" applyFill="1" applyBorder="1" applyAlignment="1" applyProtection="1">
      <alignment horizontal="left" vertical="top" wrapText="1"/>
      <protection locked="0"/>
    </xf>
    <xf numFmtId="0" fontId="31" fillId="8" borderId="61" xfId="0" applyFont="1" applyFill="1" applyBorder="1" applyAlignment="1" applyProtection="1">
      <alignment horizontal="left" vertical="top" wrapText="1"/>
      <protection locked="0"/>
    </xf>
    <xf numFmtId="0" fontId="1" fillId="3" borderId="10" xfId="1" applyFont="1" applyFill="1" applyBorder="1" applyAlignment="1" applyProtection="1">
      <alignment horizontal="left" vertical="top" wrapText="1"/>
    </xf>
    <xf numFmtId="0" fontId="0" fillId="0" borderId="12" xfId="0" quotePrefix="1" applyBorder="1" applyAlignment="1">
      <alignment horizontal="left" vertical="top"/>
    </xf>
    <xf numFmtId="0" fontId="5" fillId="0" borderId="38" xfId="0" applyFont="1" applyBorder="1" applyAlignment="1">
      <alignment horizontal="left" vertical="top" wrapText="1"/>
    </xf>
    <xf numFmtId="0" fontId="8" fillId="0" borderId="0" xfId="0" applyFont="1" applyAlignment="1">
      <alignment horizontal="center" vertical="top" wrapText="1"/>
    </xf>
    <xf numFmtId="0" fontId="17" fillId="0" borderId="0" xfId="0" applyFont="1" applyAlignment="1">
      <alignment horizontal="left" vertical="top" wrapText="1"/>
    </xf>
    <xf numFmtId="0" fontId="4" fillId="0" borderId="0" xfId="0" applyFont="1" applyAlignment="1">
      <alignment horizontal="left" vertical="top" wrapText="1"/>
    </xf>
    <xf numFmtId="0" fontId="17" fillId="0" borderId="0" xfId="0" applyFont="1" applyAlignment="1">
      <alignment horizontal="left" vertical="top"/>
    </xf>
    <xf numFmtId="0" fontId="5" fillId="0" borderId="0" xfId="0"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wrapText="1"/>
    </xf>
    <xf numFmtId="0" fontId="1" fillId="0" borderId="70" xfId="0" applyFont="1" applyBorder="1" applyAlignment="1">
      <alignment horizontal="left" vertical="top" wrapText="1"/>
    </xf>
    <xf numFmtId="0" fontId="3" fillId="0" borderId="54" xfId="0" applyFont="1" applyBorder="1" applyAlignment="1">
      <alignment horizontal="left" vertical="top" wrapText="1"/>
    </xf>
    <xf numFmtId="0" fontId="3" fillId="0" borderId="1" xfId="0" quotePrefix="1" applyFont="1" applyBorder="1" applyAlignment="1">
      <alignment horizontal="left" vertical="top" wrapText="1"/>
    </xf>
    <xf numFmtId="0" fontId="8" fillId="0" borderId="68" xfId="0" applyFont="1" applyBorder="1" applyAlignment="1">
      <alignment horizontal="left" vertical="top" wrapText="1"/>
    </xf>
    <xf numFmtId="0" fontId="46" fillId="0" borderId="1" xfId="0" applyFont="1" applyBorder="1" applyAlignment="1">
      <alignment horizontal="left" vertical="top" wrapText="1"/>
    </xf>
    <xf numFmtId="0" fontId="46" fillId="0" borderId="36" xfId="0" applyFont="1" applyBorder="1" applyAlignment="1">
      <alignment horizontal="left" vertical="top" wrapText="1"/>
    </xf>
    <xf numFmtId="3" fontId="17" fillId="8" borderId="1" xfId="0" applyNumberFormat="1" applyFont="1" applyFill="1" applyBorder="1" applyAlignment="1" applyProtection="1">
      <alignment horizontal="left" vertical="top" wrapText="1"/>
      <protection locked="0"/>
    </xf>
    <xf numFmtId="0" fontId="3" fillId="0" borderId="75" xfId="0" applyFont="1" applyBorder="1" applyAlignment="1">
      <alignment horizontal="left" vertical="top" wrapText="1"/>
    </xf>
    <xf numFmtId="0" fontId="0" fillId="0" borderId="77" xfId="0" applyBorder="1" applyAlignment="1">
      <alignment horizontal="left" vertical="top"/>
    </xf>
    <xf numFmtId="0" fontId="0" fillId="0" borderId="81" xfId="0" applyBorder="1" applyAlignment="1">
      <alignment horizontal="left" vertical="top"/>
    </xf>
    <xf numFmtId="0" fontId="3" fillId="0" borderId="80" xfId="0" applyFont="1" applyBorder="1" applyAlignment="1">
      <alignment horizontal="left" vertical="top" wrapText="1"/>
    </xf>
    <xf numFmtId="0" fontId="0" fillId="0" borderId="79" xfId="0" applyBorder="1" applyAlignment="1">
      <alignment horizontal="left" vertical="top"/>
    </xf>
    <xf numFmtId="0" fontId="0" fillId="0" borderId="78" xfId="0" applyBorder="1" applyAlignment="1">
      <alignment horizontal="left" vertical="top"/>
    </xf>
    <xf numFmtId="0" fontId="3" fillId="0" borderId="15" xfId="0" applyFont="1" applyBorder="1" applyAlignment="1">
      <alignment horizontal="left" vertical="top" wrapText="1"/>
    </xf>
    <xf numFmtId="0" fontId="0" fillId="0" borderId="7" xfId="0" applyBorder="1" applyAlignment="1">
      <alignment horizontal="left" vertical="top"/>
    </xf>
    <xf numFmtId="0" fontId="0" fillId="0" borderId="73" xfId="0" applyBorder="1" applyAlignment="1">
      <alignment horizontal="left" vertical="top"/>
    </xf>
    <xf numFmtId="43" fontId="17" fillId="0" borderId="11" xfId="0" applyNumberFormat="1" applyFont="1" applyBorder="1" applyAlignment="1">
      <alignment horizontal="left" vertical="top" wrapText="1"/>
    </xf>
    <xf numFmtId="0" fontId="21" fillId="0" borderId="28" xfId="1" applyFill="1" applyBorder="1" applyAlignment="1">
      <alignment horizontal="left"/>
    </xf>
    <xf numFmtId="0" fontId="3" fillId="3" borderId="37" xfId="0" applyFont="1" applyFill="1" applyBorder="1" applyAlignment="1">
      <alignment horizontal="left" vertical="top"/>
    </xf>
    <xf numFmtId="0" fontId="21" fillId="3" borderId="19" xfId="1" applyFill="1" applyBorder="1" applyAlignment="1" applyProtection="1">
      <alignment horizontal="left" vertical="top"/>
    </xf>
    <xf numFmtId="0" fontId="3" fillId="3" borderId="72" xfId="0" applyFont="1" applyFill="1" applyBorder="1" applyAlignment="1">
      <alignment horizontal="left" vertical="top"/>
    </xf>
    <xf numFmtId="0" fontId="3" fillId="3" borderId="72" xfId="0" applyFont="1" applyFill="1" applyBorder="1" applyAlignment="1">
      <alignment horizontal="left" vertical="top" wrapText="1"/>
    </xf>
    <xf numFmtId="0" fontId="21" fillId="3" borderId="20" xfId="1" applyFill="1" applyBorder="1" applyAlignment="1" applyProtection="1">
      <alignment horizontal="left" vertical="top"/>
    </xf>
    <xf numFmtId="0" fontId="3" fillId="3" borderId="71" xfId="0" applyFont="1" applyFill="1" applyBorder="1" applyAlignment="1">
      <alignment horizontal="left" vertical="top"/>
    </xf>
    <xf numFmtId="0" fontId="12" fillId="3" borderId="26" xfId="0" applyFont="1" applyFill="1" applyBorder="1" applyAlignment="1">
      <alignment horizontal="left" vertical="top" wrapText="1"/>
    </xf>
    <xf numFmtId="0" fontId="12" fillId="3" borderId="35" xfId="0" applyFont="1" applyFill="1" applyBorder="1" applyAlignment="1">
      <alignment vertical="top" wrapText="1"/>
    </xf>
    <xf numFmtId="0" fontId="1" fillId="8" borderId="55" xfId="0" applyFont="1" applyFill="1" applyBorder="1" applyAlignment="1" applyProtection="1">
      <alignment horizontal="left" vertical="center"/>
      <protection locked="0"/>
    </xf>
    <xf numFmtId="0" fontId="5" fillId="2" borderId="5" xfId="0" applyFont="1" applyFill="1" applyBorder="1" applyAlignment="1">
      <alignment horizontal="left" vertical="top" wrapText="1"/>
    </xf>
    <xf numFmtId="0" fontId="4" fillId="0" borderId="42" xfId="1" applyFont="1" applyFill="1" applyBorder="1" applyAlignment="1">
      <alignment horizontal="left" vertical="top" wrapText="1"/>
    </xf>
    <xf numFmtId="0" fontId="3" fillId="8" borderId="50" xfId="0" applyFont="1" applyFill="1" applyBorder="1" applyAlignment="1" applyProtection="1">
      <alignment horizontal="left" vertical="top" wrapText="1"/>
      <protection locked="0"/>
    </xf>
    <xf numFmtId="0" fontId="8" fillId="8" borderId="59" xfId="0" applyFont="1" applyFill="1" applyBorder="1" applyAlignment="1">
      <alignment horizontal="left" vertical="center" wrapText="1"/>
    </xf>
    <xf numFmtId="0" fontId="8" fillId="8" borderId="61" xfId="0" applyFont="1" applyFill="1" applyBorder="1" applyAlignment="1">
      <alignment horizontal="left" vertical="center" wrapText="1"/>
    </xf>
    <xf numFmtId="0" fontId="3" fillId="8" borderId="58" xfId="0" applyFont="1" applyFill="1" applyBorder="1" applyAlignment="1" applyProtection="1">
      <alignment horizontal="left" vertical="center" wrapText="1"/>
      <protection locked="0"/>
    </xf>
    <xf numFmtId="0" fontId="17" fillId="0" borderId="2" xfId="0" applyFont="1" applyBorder="1" applyAlignment="1">
      <alignment horizontal="left" vertical="top" wrapText="1"/>
    </xf>
    <xf numFmtId="0" fontId="0" fillId="0" borderId="0" xfId="0" quotePrefix="1"/>
    <xf numFmtId="0" fontId="0" fillId="0" borderId="0" xfId="0" quotePrefix="1" applyAlignment="1">
      <alignment horizontal="left" vertical="top" wrapText="1"/>
    </xf>
    <xf numFmtId="2" fontId="17" fillId="8" borderId="1" xfId="0" applyNumberFormat="1" applyFont="1" applyFill="1" applyBorder="1" applyAlignment="1" applyProtection="1">
      <alignment horizontal="left" vertical="top" wrapText="1"/>
      <protection locked="0"/>
    </xf>
    <xf numFmtId="0" fontId="3" fillId="0" borderId="20" xfId="0" applyFont="1" applyBorder="1" applyAlignment="1">
      <alignment horizontal="left" vertical="top" wrapText="1"/>
    </xf>
    <xf numFmtId="0" fontId="38" fillId="0" borderId="25" xfId="0" applyFont="1" applyBorder="1" applyAlignment="1">
      <alignment horizontal="left" vertical="top" wrapText="1"/>
    </xf>
    <xf numFmtId="0" fontId="34" fillId="2" borderId="32" xfId="0" applyFont="1" applyFill="1" applyBorder="1" applyAlignment="1">
      <alignment horizontal="left" vertical="top"/>
    </xf>
    <xf numFmtId="0" fontId="34" fillId="2" borderId="33" xfId="0" applyFont="1" applyFill="1" applyBorder="1" applyAlignment="1">
      <alignment horizontal="left" vertical="top"/>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7" fillId="0" borderId="38" xfId="0" applyFont="1" applyBorder="1" applyAlignment="1">
      <alignment horizontal="left" vertical="top" wrapText="1"/>
    </xf>
    <xf numFmtId="0" fontId="17" fillId="0" borderId="39" xfId="0" applyFont="1" applyBorder="1" applyAlignment="1">
      <alignment horizontal="left" vertical="top" wrapText="1"/>
    </xf>
    <xf numFmtId="0" fontId="34" fillId="2" borderId="38" xfId="0" applyFont="1" applyFill="1" applyBorder="1" applyAlignment="1">
      <alignment horizontal="left" vertical="center" wrapText="1"/>
    </xf>
    <xf numFmtId="0" fontId="29" fillId="2" borderId="39" xfId="0" applyFont="1" applyFill="1" applyBorder="1" applyAlignment="1">
      <alignment horizontal="left" vertical="center" wrapText="1"/>
    </xf>
    <xf numFmtId="0" fontId="17" fillId="0" borderId="28" xfId="0" applyFont="1" applyBorder="1" applyAlignment="1">
      <alignment horizontal="left" vertical="center" wrapText="1"/>
    </xf>
    <xf numFmtId="0" fontId="17" fillId="0" borderId="62" xfId="0" applyFont="1" applyBorder="1" applyAlignment="1">
      <alignment horizontal="left" vertical="center" wrapText="1"/>
    </xf>
    <xf numFmtId="0" fontId="17" fillId="0" borderId="54" xfId="0" applyFont="1" applyBorder="1" applyAlignment="1">
      <alignment horizontal="left" vertical="center" wrapText="1"/>
    </xf>
    <xf numFmtId="0" fontId="17" fillId="0" borderId="69" xfId="0" applyFont="1" applyBorder="1" applyAlignment="1">
      <alignment horizontal="left" vertical="center" wrapText="1"/>
    </xf>
    <xf numFmtId="0" fontId="3" fillId="2" borderId="19" xfId="0" applyFont="1" applyFill="1" applyBorder="1" applyAlignment="1">
      <alignment horizontal="center" vertical="top" wrapText="1"/>
    </xf>
    <xf numFmtId="0" fontId="3" fillId="2" borderId="29" xfId="0" applyFont="1" applyFill="1" applyBorder="1" applyAlignment="1">
      <alignment horizontal="center" vertical="top" wrapText="1"/>
    </xf>
    <xf numFmtId="0" fontId="17" fillId="0" borderId="19" xfId="0" quotePrefix="1" applyFont="1" applyBorder="1" applyAlignment="1">
      <alignment horizontal="left" vertical="top" wrapText="1"/>
    </xf>
    <xf numFmtId="0" fontId="35" fillId="0" borderId="29" xfId="0" applyFont="1" applyBorder="1" applyAlignment="1">
      <alignment horizontal="left" vertical="top" wrapText="1"/>
    </xf>
    <xf numFmtId="0" fontId="17" fillId="0" borderId="68" xfId="0" applyFont="1" applyBorder="1" applyAlignment="1">
      <alignment horizontal="left" vertical="center" wrapText="1"/>
    </xf>
    <xf numFmtId="0" fontId="17" fillId="0" borderId="71" xfId="0" applyFont="1" applyBorder="1" applyAlignment="1">
      <alignment horizontal="left" vertical="center" wrapText="1"/>
    </xf>
    <xf numFmtId="0" fontId="17" fillId="2" borderId="19" xfId="0" applyFont="1" applyFill="1" applyBorder="1" applyAlignment="1">
      <alignment horizontal="center" vertical="top"/>
    </xf>
    <xf numFmtId="0" fontId="17" fillId="2" borderId="29" xfId="0" applyFont="1" applyFill="1" applyBorder="1" applyAlignment="1">
      <alignment horizontal="center" vertical="top"/>
    </xf>
    <xf numFmtId="0" fontId="21" fillId="3" borderId="0" xfId="1" quotePrefix="1" applyFill="1" applyBorder="1" applyAlignment="1" applyProtection="1">
      <alignment horizontal="left"/>
    </xf>
    <xf numFmtId="0" fontId="21" fillId="3" borderId="0" xfId="1" applyFill="1" applyBorder="1" applyAlignment="1" applyProtection="1">
      <alignment horizontal="left"/>
    </xf>
    <xf numFmtId="0" fontId="21" fillId="0" borderId="19" xfId="1" applyFill="1" applyBorder="1" applyAlignment="1" applyProtection="1">
      <alignment horizontal="left" vertical="top"/>
    </xf>
    <xf numFmtId="0" fontId="21" fillId="0" borderId="29" xfId="1" applyFill="1" applyBorder="1" applyAlignment="1" applyProtection="1">
      <alignment horizontal="left" vertical="top"/>
    </xf>
    <xf numFmtId="0" fontId="28" fillId="2" borderId="38" xfId="0" applyFont="1" applyFill="1" applyBorder="1" applyAlignment="1">
      <alignment horizontal="left" vertical="top"/>
    </xf>
    <xf numFmtId="0" fontId="28" fillId="2" borderId="39" xfId="0" applyFont="1" applyFill="1" applyBorder="1" applyAlignment="1">
      <alignment horizontal="left" vertical="top"/>
    </xf>
    <xf numFmtId="0" fontId="21" fillId="0" borderId="20" xfId="1" applyFill="1" applyBorder="1" applyAlignment="1" applyProtection="1">
      <alignment horizontal="left" vertical="top"/>
    </xf>
    <xf numFmtId="0" fontId="21" fillId="0" borderId="25" xfId="1" applyFill="1" applyBorder="1" applyAlignment="1" applyProtection="1">
      <alignment horizontal="left" vertical="top"/>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17" fillId="0" borderId="20" xfId="0" applyFont="1" applyBorder="1" applyAlignment="1">
      <alignment horizontal="left" vertical="center" wrapText="1"/>
    </xf>
    <xf numFmtId="0" fontId="17" fillId="0" borderId="25" xfId="0" applyFont="1" applyBorder="1" applyAlignment="1">
      <alignment horizontal="left" vertical="center" wrapText="1"/>
    </xf>
    <xf numFmtId="0" fontId="34" fillId="2" borderId="38" xfId="0" applyFont="1" applyFill="1" applyBorder="1" applyAlignment="1">
      <alignment horizontal="left" vertical="top" wrapText="1"/>
    </xf>
    <xf numFmtId="0" fontId="29" fillId="2" borderId="39" xfId="0" applyFont="1" applyFill="1" applyBorder="1" applyAlignment="1">
      <alignment horizontal="left" vertical="top" wrapText="1"/>
    </xf>
    <xf numFmtId="0" fontId="17" fillId="0" borderId="73" xfId="0" applyFont="1" applyBorder="1" applyAlignment="1">
      <alignment horizontal="left" vertical="center" wrapText="1"/>
    </xf>
    <xf numFmtId="0" fontId="17" fillId="0" borderId="72" xfId="0" applyFont="1" applyBorder="1" applyAlignment="1">
      <alignment horizontal="left" vertical="center" wrapText="1"/>
    </xf>
    <xf numFmtId="0" fontId="17" fillId="0" borderId="19" xfId="0" applyFont="1" applyBorder="1" applyAlignment="1">
      <alignment horizontal="left" vertical="center" wrapText="1"/>
    </xf>
    <xf numFmtId="0" fontId="17" fillId="0" borderId="29" xfId="0" applyFont="1" applyBorder="1" applyAlignment="1">
      <alignment horizontal="left" vertical="center" wrapText="1"/>
    </xf>
    <xf numFmtId="0" fontId="17" fillId="0" borderId="32" xfId="0" applyFont="1" applyBorder="1" applyAlignment="1">
      <alignment horizontal="left" vertical="top" wrapText="1"/>
    </xf>
    <xf numFmtId="0" fontId="7" fillId="0" borderId="33" xfId="0" applyFont="1" applyBorder="1" applyAlignment="1">
      <alignment horizontal="left" vertical="top" wrapText="1"/>
    </xf>
    <xf numFmtId="0" fontId="21" fillId="0" borderId="20" xfId="1" applyFill="1" applyBorder="1" applyAlignment="1" applyProtection="1">
      <alignment horizontal="left" vertical="center" wrapText="1"/>
    </xf>
    <xf numFmtId="0" fontId="21" fillId="0" borderId="25" xfId="1" applyFill="1" applyBorder="1" applyAlignment="1" applyProtection="1">
      <alignment horizontal="left" vertical="center" wrapText="1"/>
    </xf>
    <xf numFmtId="0" fontId="3" fillId="3" borderId="20" xfId="0" applyFont="1" applyFill="1" applyBorder="1" applyAlignment="1">
      <alignment horizontal="left" vertical="top" wrapText="1"/>
    </xf>
    <xf numFmtId="0" fontId="3" fillId="3" borderId="25" xfId="0" applyFont="1" applyFill="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3" fillId="3" borderId="19" xfId="0" applyFont="1" applyFill="1" applyBorder="1" applyAlignment="1">
      <alignment horizontal="left" vertical="top" wrapText="1"/>
    </xf>
    <xf numFmtId="0" fontId="3" fillId="3" borderId="29" xfId="0" applyFont="1" applyFill="1" applyBorder="1" applyAlignment="1">
      <alignment horizontal="left" vertical="top" wrapText="1"/>
    </xf>
    <xf numFmtId="0" fontId="21" fillId="3" borderId="21" xfId="1" applyFill="1" applyBorder="1" applyAlignment="1" applyProtection="1">
      <alignment horizontal="left" vertical="top" wrapText="1"/>
    </xf>
    <xf numFmtId="0" fontId="21" fillId="3" borderId="17" xfId="1" applyFill="1" applyBorder="1" applyAlignment="1" applyProtection="1">
      <alignment horizontal="left" vertical="top" wrapText="1"/>
    </xf>
    <xf numFmtId="0" fontId="13" fillId="7" borderId="32" xfId="0" applyFont="1" applyFill="1" applyBorder="1" applyAlignment="1">
      <alignment horizontal="center" vertical="center" wrapText="1"/>
    </xf>
    <xf numFmtId="0" fontId="13" fillId="7" borderId="33" xfId="0" applyFont="1" applyFill="1" applyBorder="1" applyAlignment="1">
      <alignment horizontal="center" vertical="center" wrapText="1"/>
    </xf>
    <xf numFmtId="0" fontId="1" fillId="3" borderId="32" xfId="0" applyFont="1" applyFill="1" applyBorder="1" applyAlignment="1">
      <alignment horizontal="left" vertical="top" wrapText="1"/>
    </xf>
    <xf numFmtId="0" fontId="1" fillId="3" borderId="33" xfId="0" applyFont="1" applyFill="1" applyBorder="1" applyAlignment="1">
      <alignment horizontal="left" vertical="top" wrapText="1"/>
    </xf>
    <xf numFmtId="0" fontId="1" fillId="3" borderId="32" xfId="0" applyFont="1" applyFill="1" applyBorder="1" applyAlignment="1">
      <alignment horizontal="center" vertical="top" wrapText="1"/>
    </xf>
    <xf numFmtId="0" fontId="1" fillId="3" borderId="31" xfId="0" applyFont="1" applyFill="1" applyBorder="1" applyAlignment="1">
      <alignment horizontal="center" vertical="top" wrapText="1"/>
    </xf>
    <xf numFmtId="0" fontId="12" fillId="2" borderId="32" xfId="0" applyFont="1" applyFill="1" applyBorder="1" applyAlignment="1">
      <alignment horizontal="left" vertical="top" wrapText="1"/>
    </xf>
    <xf numFmtId="0" fontId="12" fillId="2" borderId="33" xfId="0" applyFont="1" applyFill="1" applyBorder="1" applyAlignment="1">
      <alignment horizontal="left" vertical="top" wrapText="1"/>
    </xf>
    <xf numFmtId="0" fontId="12" fillId="3" borderId="38" xfId="0" applyFont="1" applyFill="1" applyBorder="1" applyAlignment="1">
      <alignment horizontal="left" vertical="top" wrapText="1"/>
    </xf>
    <xf numFmtId="0" fontId="12" fillId="3" borderId="39" xfId="0" applyFont="1" applyFill="1" applyBorder="1" applyAlignment="1">
      <alignment horizontal="left" vertical="top" wrapText="1"/>
    </xf>
    <xf numFmtId="0" fontId="1" fillId="3" borderId="19" xfId="1" applyFont="1" applyFill="1" applyBorder="1" applyAlignment="1" applyProtection="1">
      <alignment horizontal="left" vertical="top" wrapText="1"/>
    </xf>
    <xf numFmtId="0" fontId="1" fillId="3" borderId="29" xfId="1" applyFont="1" applyFill="1" applyBorder="1" applyAlignment="1" applyProtection="1">
      <alignment horizontal="left" vertical="top" wrapText="1"/>
    </xf>
    <xf numFmtId="0" fontId="4" fillId="3" borderId="19" xfId="0" applyFont="1" applyFill="1" applyBorder="1" applyAlignment="1">
      <alignment horizontal="left" vertical="top" wrapText="1"/>
    </xf>
    <xf numFmtId="0" fontId="4" fillId="3" borderId="29" xfId="0" applyFont="1" applyFill="1" applyBorder="1" applyAlignment="1">
      <alignment horizontal="left" vertical="top" wrapText="1"/>
    </xf>
    <xf numFmtId="0" fontId="20" fillId="3" borderId="28" xfId="0" applyFont="1" applyFill="1" applyBorder="1" applyAlignment="1">
      <alignment horizontal="left" vertical="top" wrapText="1"/>
    </xf>
    <xf numFmtId="0" fontId="20" fillId="3" borderId="62" xfId="0" applyFont="1" applyFill="1" applyBorder="1" applyAlignment="1">
      <alignment horizontal="left" vertical="top" wrapText="1"/>
    </xf>
    <xf numFmtId="0" fontId="17" fillId="3" borderId="23" xfId="0" applyFont="1" applyFill="1" applyBorder="1" applyAlignment="1">
      <alignment horizontal="left" vertical="top" wrapText="1"/>
    </xf>
    <xf numFmtId="0" fontId="17" fillId="3" borderId="16" xfId="0" applyFont="1" applyFill="1" applyBorder="1" applyAlignment="1">
      <alignment horizontal="left" vertical="top" wrapText="1"/>
    </xf>
    <xf numFmtId="0" fontId="12" fillId="3" borderId="32" xfId="0" applyFont="1" applyFill="1" applyBorder="1" applyAlignment="1">
      <alignment horizontal="left" vertical="top" wrapText="1"/>
    </xf>
    <xf numFmtId="0" fontId="12" fillId="3" borderId="33"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17" xfId="0" applyFont="1" applyFill="1" applyBorder="1" applyAlignment="1">
      <alignment horizontal="left" vertical="top" wrapText="1"/>
    </xf>
    <xf numFmtId="0" fontId="1" fillId="3" borderId="26" xfId="0" applyFont="1" applyFill="1" applyBorder="1" applyAlignment="1">
      <alignment horizontal="center" vertical="top" wrapText="1"/>
    </xf>
    <xf numFmtId="0" fontId="1" fillId="3" borderId="23" xfId="0" applyFont="1" applyFill="1" applyBorder="1" applyAlignment="1">
      <alignment horizontal="left" vertical="top" wrapText="1"/>
    </xf>
    <xf numFmtId="0" fontId="1" fillId="3" borderId="16" xfId="0" applyFont="1" applyFill="1" applyBorder="1" applyAlignment="1">
      <alignment horizontal="left" vertical="top" wrapText="1"/>
    </xf>
    <xf numFmtId="0" fontId="12" fillId="3" borderId="4" xfId="0" applyFont="1" applyFill="1" applyBorder="1" applyAlignment="1">
      <alignment horizontal="left" vertical="top" wrapText="1"/>
    </xf>
    <xf numFmtId="0" fontId="12" fillId="3" borderId="6" xfId="0" applyFont="1" applyFill="1" applyBorder="1" applyAlignment="1">
      <alignment horizontal="left" vertical="top" wrapText="1"/>
    </xf>
    <xf numFmtId="0" fontId="1" fillId="3" borderId="22" xfId="0" applyFont="1" applyFill="1" applyBorder="1" applyAlignment="1">
      <alignment horizontal="left" vertical="top" wrapText="1"/>
    </xf>
    <xf numFmtId="0" fontId="1" fillId="3" borderId="18" xfId="0" applyFont="1" applyFill="1" applyBorder="1" applyAlignment="1">
      <alignment horizontal="left" vertical="top" wrapText="1"/>
    </xf>
    <xf numFmtId="0" fontId="21" fillId="3" borderId="32" xfId="1" applyFill="1" applyBorder="1" applyAlignment="1" applyProtection="1">
      <alignment horizontal="left" vertical="top" wrapText="1"/>
    </xf>
    <xf numFmtId="0" fontId="21" fillId="3" borderId="33" xfId="1" applyFill="1" applyBorder="1" applyAlignment="1" applyProtection="1">
      <alignment horizontal="left" vertical="top" wrapText="1"/>
    </xf>
    <xf numFmtId="0" fontId="12" fillId="3" borderId="20" xfId="0" applyFont="1" applyFill="1" applyBorder="1" applyAlignment="1">
      <alignment horizontal="left" vertical="top" wrapText="1"/>
    </xf>
    <xf numFmtId="0" fontId="12" fillId="3" borderId="25" xfId="0" applyFont="1" applyFill="1" applyBorder="1" applyAlignment="1">
      <alignment horizontal="left" vertical="top" wrapText="1"/>
    </xf>
    <xf numFmtId="0" fontId="3" fillId="0" borderId="32" xfId="0" applyFont="1" applyBorder="1" applyAlignment="1">
      <alignment horizontal="center" vertical="top" wrapText="1"/>
    </xf>
    <xf numFmtId="0" fontId="3" fillId="0" borderId="31" xfId="0" applyFont="1" applyBorder="1" applyAlignment="1">
      <alignment horizontal="center" vertical="top" wrapText="1"/>
    </xf>
    <xf numFmtId="0" fontId="12" fillId="3" borderId="21" xfId="0" applyFont="1" applyFill="1" applyBorder="1" applyAlignment="1">
      <alignment horizontal="left" vertical="top" wrapText="1"/>
    </xf>
    <xf numFmtId="0" fontId="12" fillId="3" borderId="17" xfId="0" applyFont="1" applyFill="1" applyBorder="1" applyAlignment="1">
      <alignment horizontal="left" vertical="top" wrapText="1"/>
    </xf>
    <xf numFmtId="0" fontId="12" fillId="3" borderId="22" xfId="0" applyFont="1" applyFill="1" applyBorder="1" applyAlignment="1">
      <alignment horizontal="left" vertical="top" wrapText="1"/>
    </xf>
    <xf numFmtId="0" fontId="12" fillId="3" borderId="18"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62" xfId="0" applyFont="1" applyFill="1" applyBorder="1" applyAlignment="1">
      <alignment horizontal="left" vertical="top" wrapText="1"/>
    </xf>
    <xf numFmtId="0" fontId="21" fillId="0" borderId="22" xfId="1" applyBorder="1" applyAlignment="1" applyProtection="1">
      <alignment horizontal="left" vertical="top" wrapText="1"/>
    </xf>
    <xf numFmtId="0" fontId="21" fillId="0" borderId="18" xfId="1" applyBorder="1" applyAlignment="1" applyProtection="1">
      <alignment horizontal="left" vertical="top" wrapText="1"/>
    </xf>
    <xf numFmtId="0" fontId="1" fillId="3" borderId="38" xfId="0" applyFont="1" applyFill="1" applyBorder="1" applyAlignment="1">
      <alignment horizontal="left" vertical="top" wrapText="1"/>
    </xf>
    <xf numFmtId="0" fontId="1" fillId="3" borderId="39" xfId="0" applyFont="1" applyFill="1" applyBorder="1" applyAlignment="1">
      <alignment horizontal="left" vertical="top" wrapText="1"/>
    </xf>
    <xf numFmtId="0" fontId="21" fillId="3" borderId="19" xfId="1" applyFill="1" applyBorder="1" applyAlignment="1" applyProtection="1">
      <alignment horizontal="left" vertical="top" wrapText="1"/>
    </xf>
    <xf numFmtId="0" fontId="21" fillId="3" borderId="29" xfId="1" applyFill="1" applyBorder="1" applyAlignment="1" applyProtection="1">
      <alignment horizontal="left" vertical="top" wrapText="1"/>
    </xf>
    <xf numFmtId="0" fontId="1" fillId="0" borderId="21" xfId="0" applyFont="1" applyBorder="1" applyAlignment="1">
      <alignment horizontal="left" vertical="top" wrapText="1"/>
    </xf>
    <xf numFmtId="0" fontId="1" fillId="0" borderId="17" xfId="0" applyFont="1" applyBorder="1" applyAlignment="1">
      <alignment horizontal="left" vertical="top" wrapText="1"/>
    </xf>
    <xf numFmtId="0" fontId="1" fillId="3" borderId="28" xfId="0" quotePrefix="1" applyFont="1" applyFill="1" applyBorder="1" applyAlignment="1">
      <alignment horizontal="left" vertical="top" wrapText="1"/>
    </xf>
    <xf numFmtId="0" fontId="21" fillId="3" borderId="20" xfId="1" applyFill="1" applyBorder="1" applyAlignment="1" applyProtection="1">
      <alignment horizontal="left" vertical="top" wrapText="1"/>
    </xf>
    <xf numFmtId="0" fontId="21" fillId="3" borderId="25" xfId="1" applyFill="1" applyBorder="1" applyAlignment="1" applyProtection="1">
      <alignment horizontal="left" vertical="top" wrapText="1"/>
    </xf>
    <xf numFmtId="0" fontId="21" fillId="0" borderId="23" xfId="1" applyFill="1" applyBorder="1" applyAlignment="1" applyProtection="1">
      <alignment horizontal="left" vertical="top" wrapText="1"/>
    </xf>
    <xf numFmtId="0" fontId="21" fillId="0" borderId="16" xfId="1" applyFill="1" applyBorder="1" applyAlignment="1" applyProtection="1">
      <alignment horizontal="left" vertical="top" wrapText="1"/>
    </xf>
    <xf numFmtId="0" fontId="1" fillId="0" borderId="32" xfId="0" applyFont="1" applyBorder="1" applyAlignment="1">
      <alignment horizontal="left" vertical="top" wrapText="1"/>
    </xf>
    <xf numFmtId="0" fontId="1" fillId="0" borderId="33"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43" fontId="3" fillId="0" borderId="2" xfId="0" applyNumberFormat="1" applyFont="1" applyBorder="1" applyAlignment="1">
      <alignment horizontal="left" vertical="top" wrapText="1"/>
    </xf>
    <xf numFmtId="43" fontId="3" fillId="0" borderId="17" xfId="0" applyNumberFormat="1" applyFont="1" applyBorder="1" applyAlignment="1">
      <alignment horizontal="left" vertical="top" wrapText="1"/>
    </xf>
    <xf numFmtId="0" fontId="3" fillId="8" borderId="42" xfId="0" applyFont="1" applyFill="1" applyBorder="1" applyAlignment="1" applyProtection="1">
      <alignment horizontal="left" vertical="top" wrapText="1"/>
      <protection locked="0"/>
    </xf>
    <xf numFmtId="0" fontId="3" fillId="8" borderId="16" xfId="0" applyFont="1" applyFill="1" applyBorder="1" applyAlignment="1" applyProtection="1">
      <alignment horizontal="left" vertical="top" wrapText="1"/>
      <protection locked="0"/>
    </xf>
    <xf numFmtId="0" fontId="15" fillId="2" borderId="32"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15" fillId="2" borderId="33" xfId="0" applyFont="1" applyFill="1" applyBorder="1" applyAlignment="1">
      <alignment horizontal="center" vertical="center" wrapText="1"/>
    </xf>
    <xf numFmtId="0" fontId="3" fillId="0" borderId="38" xfId="0" applyFont="1" applyBorder="1" applyAlignment="1">
      <alignment horizontal="left" vertical="top" wrapText="1"/>
    </xf>
    <xf numFmtId="0" fontId="3" fillId="0" borderId="14" xfId="0" applyFont="1" applyBorder="1" applyAlignment="1">
      <alignment horizontal="left" vertical="top" wrapText="1"/>
    </xf>
    <xf numFmtId="0" fontId="3" fillId="0" borderId="39" xfId="0" applyFont="1" applyBorder="1" applyAlignment="1">
      <alignment horizontal="left" vertical="top" wrapText="1"/>
    </xf>
    <xf numFmtId="0" fontId="21" fillId="0" borderId="19" xfId="1" applyFill="1" applyBorder="1" applyAlignment="1">
      <alignment horizontal="left" vertical="top" wrapText="1"/>
    </xf>
    <xf numFmtId="0" fontId="21" fillId="0" borderId="0" xfId="1" applyFill="1" applyBorder="1" applyAlignment="1">
      <alignment horizontal="left" vertical="top" wrapText="1"/>
    </xf>
    <xf numFmtId="0" fontId="21" fillId="0" borderId="29" xfId="1" applyFill="1" applyBorder="1" applyAlignment="1">
      <alignment horizontal="left" vertical="top" wrapText="1"/>
    </xf>
    <xf numFmtId="0" fontId="3" fillId="0" borderId="19" xfId="0" applyFont="1" applyBorder="1" applyAlignment="1">
      <alignment horizontal="left" vertical="top" wrapText="1"/>
    </xf>
    <xf numFmtId="0" fontId="3" fillId="0" borderId="0" xfId="0" applyFont="1" applyAlignment="1">
      <alignment horizontal="left" vertical="top" wrapText="1"/>
    </xf>
    <xf numFmtId="0" fontId="3" fillId="0" borderId="29" xfId="0" applyFont="1" applyBorder="1" applyAlignment="1">
      <alignment horizontal="left" vertical="top" wrapText="1"/>
    </xf>
    <xf numFmtId="0" fontId="21" fillId="0" borderId="32" xfId="1" applyFill="1" applyBorder="1" applyAlignment="1">
      <alignment horizontal="left" vertical="center" wrapText="1"/>
    </xf>
    <xf numFmtId="0" fontId="21" fillId="0" borderId="31" xfId="1" applyFill="1" applyBorder="1" applyAlignment="1">
      <alignment horizontal="left" vertical="center" wrapText="1"/>
    </xf>
    <xf numFmtId="0" fontId="21" fillId="0" borderId="33" xfId="1" applyFill="1" applyBorder="1" applyAlignment="1">
      <alignment horizontal="left" vertical="center"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3" fillId="8" borderId="55" xfId="0" applyFont="1" applyFill="1" applyBorder="1" applyAlignment="1" applyProtection="1">
      <alignment horizontal="left" vertical="top" wrapText="1"/>
      <protection locked="0"/>
    </xf>
    <xf numFmtId="0" fontId="3" fillId="8" borderId="6" xfId="0" applyFont="1" applyFill="1" applyBorder="1" applyAlignment="1" applyProtection="1">
      <alignment horizontal="left" vertical="top" wrapText="1"/>
      <protection locked="0"/>
    </xf>
    <xf numFmtId="0" fontId="5" fillId="2" borderId="38"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39" xfId="0" applyFont="1" applyFill="1" applyBorder="1" applyAlignment="1">
      <alignment horizontal="left" vertical="top" wrapText="1"/>
    </xf>
    <xf numFmtId="0" fontId="17" fillId="0" borderId="4" xfId="0" applyFont="1" applyBorder="1" applyAlignment="1">
      <alignment horizontal="left" vertical="top" wrapText="1"/>
    </xf>
    <xf numFmtId="0" fontId="17" fillId="0" borderId="56" xfId="0" applyFont="1" applyBorder="1" applyAlignment="1">
      <alignment horizontal="left" vertical="top" wrapText="1"/>
    </xf>
    <xf numFmtId="0" fontId="17" fillId="0" borderId="21" xfId="0" applyFont="1" applyBorder="1" applyAlignment="1">
      <alignment horizontal="left" vertical="top" wrapText="1"/>
    </xf>
    <xf numFmtId="0" fontId="17" fillId="0" borderId="49" xfId="0" applyFont="1" applyBorder="1" applyAlignment="1">
      <alignment horizontal="left" vertical="top" wrapText="1"/>
    </xf>
    <xf numFmtId="0" fontId="3" fillId="8" borderId="2" xfId="0" applyFont="1" applyFill="1" applyBorder="1" applyAlignment="1" applyProtection="1">
      <alignment horizontal="left" vertical="top" wrapText="1"/>
      <protection locked="0"/>
    </xf>
    <xf numFmtId="0" fontId="3" fillId="8" borderId="17" xfId="0" applyFont="1" applyFill="1" applyBorder="1" applyAlignment="1" applyProtection="1">
      <alignment horizontal="left" vertical="top" wrapText="1"/>
      <protection locked="0"/>
    </xf>
    <xf numFmtId="0" fontId="4" fillId="2" borderId="38"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39" xfId="0" applyFont="1" applyFill="1" applyBorder="1" applyAlignment="1">
      <alignment horizontal="left" vertical="top" wrapText="1"/>
    </xf>
    <xf numFmtId="0" fontId="22" fillId="0" borderId="20" xfId="0" applyFont="1" applyBorder="1" applyAlignment="1">
      <alignment horizontal="center" vertical="top" wrapText="1"/>
    </xf>
    <xf numFmtId="0" fontId="31" fillId="0" borderId="26" xfId="0" applyFont="1" applyBorder="1" applyAlignment="1">
      <alignment horizontal="center" vertical="top" wrapText="1"/>
    </xf>
    <xf numFmtId="0" fontId="31" fillId="0" borderId="25" xfId="0" applyFont="1" applyBorder="1" applyAlignment="1">
      <alignment horizontal="center" vertical="top" wrapText="1"/>
    </xf>
    <xf numFmtId="0" fontId="8" fillId="0" borderId="26" xfId="0" applyFont="1" applyBorder="1" applyAlignment="1">
      <alignment horizontal="left" vertical="top" wrapText="1"/>
    </xf>
    <xf numFmtId="0" fontId="8" fillId="0" borderId="25" xfId="0" applyFont="1" applyBorder="1" applyAlignment="1">
      <alignment horizontal="left" vertical="top" wrapText="1"/>
    </xf>
    <xf numFmtId="0" fontId="8" fillId="0" borderId="81" xfId="0" applyFont="1" applyBorder="1" applyAlignment="1">
      <alignment horizontal="left" vertical="top" wrapText="1"/>
    </xf>
    <xf numFmtId="0" fontId="8" fillId="0" borderId="0" xfId="0" applyFont="1" applyAlignment="1">
      <alignment horizontal="left" vertical="top" wrapText="1"/>
    </xf>
    <xf numFmtId="0" fontId="8" fillId="0" borderId="76" xfId="0" applyFont="1" applyBorder="1" applyAlignment="1">
      <alignment horizontal="left" vertical="top" wrapText="1"/>
    </xf>
    <xf numFmtId="0" fontId="8" fillId="0" borderId="32" xfId="0" applyFont="1" applyBorder="1" applyAlignment="1">
      <alignment horizontal="left" vertical="top" wrapText="1"/>
    </xf>
    <xf numFmtId="0" fontId="20" fillId="0" borderId="31" xfId="0" applyFont="1" applyBorder="1" applyAlignment="1">
      <alignment horizontal="left" vertical="top" wrapText="1"/>
    </xf>
    <xf numFmtId="0" fontId="20" fillId="0" borderId="33" xfId="0" applyFont="1" applyBorder="1" applyAlignment="1">
      <alignment horizontal="left" vertical="top" wrapText="1"/>
    </xf>
    <xf numFmtId="49" fontId="3" fillId="0" borderId="26" xfId="0" applyNumberFormat="1" applyFont="1" applyBorder="1" applyAlignment="1">
      <alignment horizontal="center" vertical="top" wrapText="1"/>
    </xf>
    <xf numFmtId="49" fontId="3" fillId="0" borderId="25" xfId="0" applyNumberFormat="1" applyFont="1" applyBorder="1" applyAlignment="1">
      <alignment horizontal="center" vertical="top" wrapText="1"/>
    </xf>
    <xf numFmtId="0" fontId="20" fillId="0" borderId="68" xfId="0" applyFont="1" applyBorder="1" applyAlignment="1">
      <alignment horizontal="left" vertical="top" wrapText="1"/>
    </xf>
    <xf numFmtId="0" fontId="20" fillId="0" borderId="66" xfId="0" applyFont="1" applyBorder="1" applyAlignment="1">
      <alignment horizontal="left" vertical="top" wrapText="1"/>
    </xf>
    <xf numFmtId="0" fontId="20" fillId="0" borderId="71" xfId="0" applyFont="1" applyBorder="1" applyAlignment="1">
      <alignment horizontal="left" vertical="top" wrapText="1"/>
    </xf>
    <xf numFmtId="0" fontId="5" fillId="2" borderId="82" xfId="0" applyFont="1" applyFill="1" applyBorder="1" applyAlignment="1">
      <alignment horizontal="left" vertical="top" wrapText="1"/>
    </xf>
    <xf numFmtId="0" fontId="5" fillId="2" borderId="83" xfId="0" applyFont="1" applyFill="1" applyBorder="1" applyAlignment="1">
      <alignment horizontal="left" vertical="top" wrapText="1"/>
    </xf>
    <xf numFmtId="0" fontId="5" fillId="2" borderId="84" xfId="0" applyFont="1" applyFill="1" applyBorder="1" applyAlignment="1">
      <alignment horizontal="left" vertical="top" wrapText="1"/>
    </xf>
    <xf numFmtId="0" fontId="8" fillId="0" borderId="26" xfId="0" applyFont="1" applyBorder="1" applyAlignment="1">
      <alignment horizontal="center" vertical="top" wrapText="1"/>
    </xf>
    <xf numFmtId="0" fontId="3" fillId="0" borderId="26" xfId="0" applyFont="1" applyBorder="1" applyAlignment="1">
      <alignment horizontal="center" vertical="top" wrapText="1"/>
    </xf>
    <xf numFmtId="0" fontId="3" fillId="0" borderId="25" xfId="0" applyFont="1" applyBorder="1" applyAlignment="1">
      <alignment horizontal="center" vertical="top" wrapText="1"/>
    </xf>
    <xf numFmtId="0" fontId="8" fillId="0" borderId="25" xfId="0" applyFont="1" applyBorder="1" applyAlignment="1">
      <alignment horizontal="center" vertical="top" wrapText="1"/>
    </xf>
    <xf numFmtId="0" fontId="4" fillId="2" borderId="32"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3" xfId="0" applyFont="1" applyFill="1" applyBorder="1" applyAlignment="1">
      <alignment horizontal="left" vertical="top" wrapText="1"/>
    </xf>
    <xf numFmtId="0" fontId="21" fillId="0" borderId="14" xfId="1" applyFill="1" applyBorder="1" applyAlignment="1">
      <alignment horizontal="left" vertical="top"/>
    </xf>
    <xf numFmtId="0" fontId="3" fillId="0" borderId="26" xfId="0" applyFont="1" applyBorder="1" applyAlignment="1">
      <alignment horizontal="left" vertical="top" wrapText="1"/>
    </xf>
    <xf numFmtId="0" fontId="3" fillId="0" borderId="25" xfId="0" applyFont="1" applyBorder="1" applyAlignment="1">
      <alignment horizontal="left" vertical="top" wrapText="1"/>
    </xf>
    <xf numFmtId="0" fontId="21" fillId="0" borderId="32" xfId="1" quotePrefix="1" applyFill="1" applyBorder="1" applyAlignment="1">
      <alignment horizontal="left" vertical="top" wrapText="1"/>
    </xf>
    <xf numFmtId="0" fontId="21" fillId="0" borderId="31" xfId="1" quotePrefix="1" applyFill="1" applyBorder="1" applyAlignment="1">
      <alignment horizontal="left" vertical="top" wrapText="1"/>
    </xf>
    <xf numFmtId="0" fontId="21" fillId="0" borderId="33" xfId="1" quotePrefix="1" applyFill="1" applyBorder="1" applyAlignment="1">
      <alignment horizontal="left" vertical="top" wrapText="1"/>
    </xf>
    <xf numFmtId="0" fontId="5" fillId="2" borderId="32" xfId="0" applyFont="1" applyFill="1" applyBorder="1" applyAlignment="1">
      <alignment horizontal="left" vertical="top" wrapText="1"/>
    </xf>
    <xf numFmtId="0" fontId="5" fillId="2" borderId="31" xfId="0" applyFont="1" applyFill="1" applyBorder="1" applyAlignment="1">
      <alignment horizontal="left" vertical="top" wrapText="1"/>
    </xf>
    <xf numFmtId="0" fontId="5" fillId="2" borderId="33" xfId="0" applyFont="1" applyFill="1" applyBorder="1" applyAlignment="1">
      <alignment horizontal="left" vertical="top" wrapText="1"/>
    </xf>
    <xf numFmtId="0" fontId="3" fillId="0" borderId="33" xfId="0" applyFont="1" applyBorder="1" applyAlignment="1">
      <alignment horizontal="center" vertical="top" wrapText="1"/>
    </xf>
    <xf numFmtId="49" fontId="3" fillId="0" borderId="31" xfId="0" applyNumberFormat="1" applyFont="1" applyBorder="1" applyAlignment="1">
      <alignment horizontal="center" vertical="top" wrapText="1"/>
    </xf>
    <xf numFmtId="49" fontId="3" fillId="0" borderId="33" xfId="0" applyNumberFormat="1" applyFont="1" applyBorder="1" applyAlignment="1">
      <alignment horizontal="center" vertical="top" wrapText="1"/>
    </xf>
    <xf numFmtId="0" fontId="3" fillId="0" borderId="31" xfId="0" applyFont="1" applyBorder="1" applyAlignment="1">
      <alignment horizontal="left" vertical="top" wrapText="1"/>
    </xf>
    <xf numFmtId="0" fontId="3" fillId="0" borderId="33" xfId="0" applyFont="1" applyBorder="1" applyAlignment="1">
      <alignment horizontal="left" vertical="top" wrapText="1"/>
    </xf>
    <xf numFmtId="0" fontId="21" fillId="0" borderId="0" xfId="1" applyFill="1" applyBorder="1" applyAlignment="1">
      <alignment horizontal="left" vertical="top"/>
    </xf>
    <xf numFmtId="0" fontId="15" fillId="2" borderId="60" xfId="0" applyFont="1" applyFill="1" applyBorder="1" applyAlignment="1">
      <alignment horizontal="center" vertical="center" wrapText="1"/>
    </xf>
    <xf numFmtId="0" fontId="3" fillId="0" borderId="32" xfId="0" applyFont="1" applyBorder="1" applyAlignment="1">
      <alignment horizontal="left" vertical="top" wrapText="1"/>
    </xf>
    <xf numFmtId="0" fontId="3" fillId="0" borderId="60" xfId="0" applyFont="1" applyBorder="1" applyAlignment="1">
      <alignment horizontal="left" vertical="top" wrapText="1"/>
    </xf>
    <xf numFmtId="0" fontId="21" fillId="0" borderId="32" xfId="1" quotePrefix="1" applyFill="1" applyBorder="1" applyAlignment="1">
      <alignment horizontal="left" vertical="center" wrapText="1"/>
    </xf>
    <xf numFmtId="0" fontId="21" fillId="0" borderId="33" xfId="1" quotePrefix="1" applyFill="1" applyBorder="1" applyAlignment="1">
      <alignment horizontal="left" vertical="center"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3" fillId="0" borderId="20" xfId="0" applyFont="1" applyBorder="1" applyAlignment="1">
      <alignment horizontal="center" vertical="top" wrapText="1"/>
    </xf>
    <xf numFmtId="0" fontId="5" fillId="2" borderId="0" xfId="0" applyFont="1" applyFill="1" applyAlignment="1">
      <alignment horizontal="left" vertical="top" wrapText="1"/>
    </xf>
    <xf numFmtId="0" fontId="5" fillId="2" borderId="29" xfId="0" applyFont="1" applyFill="1" applyBorder="1" applyAlignment="1">
      <alignment horizontal="left" vertical="top" wrapText="1"/>
    </xf>
    <xf numFmtId="0" fontId="3" fillId="0" borderId="0" xfId="0" applyFont="1" applyAlignment="1">
      <alignment horizontal="center" vertical="top"/>
    </xf>
    <xf numFmtId="0" fontId="3" fillId="0" borderId="29" xfId="0" applyFont="1" applyBorder="1" applyAlignment="1">
      <alignment horizontal="center" vertical="top"/>
    </xf>
    <xf numFmtId="0" fontId="3" fillId="0" borderId="26" xfId="0" applyFont="1" applyBorder="1" applyAlignment="1">
      <alignment horizontal="left" vertical="top"/>
    </xf>
    <xf numFmtId="0" fontId="3" fillId="0" borderId="25" xfId="0" applyFont="1" applyBorder="1" applyAlignment="1">
      <alignment horizontal="left" vertical="top"/>
    </xf>
    <xf numFmtId="0" fontId="3" fillId="0" borderId="64" xfId="0" applyFont="1" applyBorder="1" applyAlignment="1">
      <alignment horizontal="left" vertical="top" wrapText="1"/>
    </xf>
    <xf numFmtId="0" fontId="12" fillId="2" borderId="38" xfId="0" applyFont="1" applyFill="1" applyBorder="1" applyAlignment="1">
      <alignment horizontal="left" vertical="top" wrapText="1"/>
    </xf>
    <xf numFmtId="0" fontId="12" fillId="2" borderId="39" xfId="0" applyFont="1" applyFill="1" applyBorder="1" applyAlignment="1">
      <alignment horizontal="left" vertical="top" wrapText="1"/>
    </xf>
    <xf numFmtId="0" fontId="12" fillId="2" borderId="19" xfId="0" applyFont="1" applyFill="1" applyBorder="1" applyAlignment="1">
      <alignment horizontal="left" vertical="top" wrapText="1"/>
    </xf>
    <xf numFmtId="0" fontId="12" fillId="2" borderId="29" xfId="0" applyFont="1" applyFill="1" applyBorder="1" applyAlignment="1">
      <alignment horizontal="left" vertical="top" wrapText="1"/>
    </xf>
    <xf numFmtId="0" fontId="3" fillId="0" borderId="32" xfId="0" applyFont="1" applyBorder="1" applyAlignment="1">
      <alignment horizontal="left" vertical="top"/>
    </xf>
    <xf numFmtId="0" fontId="3" fillId="0" borderId="33" xfId="0" applyFont="1" applyBorder="1" applyAlignment="1">
      <alignment horizontal="left" vertical="top"/>
    </xf>
    <xf numFmtId="0" fontId="1" fillId="3" borderId="2" xfId="0" applyFont="1" applyFill="1" applyBorder="1" applyAlignment="1">
      <alignment horizontal="left" vertical="top" wrapText="1"/>
    </xf>
    <xf numFmtId="0" fontId="1" fillId="3" borderId="24" xfId="0" applyFont="1" applyFill="1" applyBorder="1" applyAlignment="1">
      <alignment horizontal="left" vertical="top" wrapText="1"/>
    </xf>
    <xf numFmtId="0" fontId="3" fillId="0" borderId="2" xfId="0" applyFont="1" applyBorder="1" applyAlignment="1">
      <alignment horizontal="left" vertical="top" wrapText="1"/>
    </xf>
    <xf numFmtId="0" fontId="21" fillId="0" borderId="1" xfId="1" applyFill="1" applyBorder="1" applyAlignment="1">
      <alignment horizontal="left" vertical="top" wrapText="1"/>
    </xf>
    <xf numFmtId="0" fontId="21" fillId="0" borderId="2" xfId="1" applyFill="1" applyBorder="1" applyAlignment="1">
      <alignment horizontal="left" vertical="top" wrapText="1"/>
    </xf>
    <xf numFmtId="0" fontId="12" fillId="3" borderId="26" xfId="0" applyFont="1" applyFill="1" applyBorder="1" applyAlignment="1">
      <alignment horizontal="left" vertical="top" wrapText="1"/>
    </xf>
    <xf numFmtId="0" fontId="12" fillId="3" borderId="0" xfId="0" applyFont="1" applyFill="1" applyAlignment="1">
      <alignment horizontal="left" vertical="center" wrapText="1"/>
    </xf>
    <xf numFmtId="0" fontId="1" fillId="3" borderId="26" xfId="0" applyFont="1" applyFill="1" applyBorder="1" applyAlignment="1">
      <alignment horizontal="left" vertical="top" wrapText="1"/>
    </xf>
    <xf numFmtId="0" fontId="12" fillId="2" borderId="38" xfId="0" applyFont="1" applyFill="1" applyBorder="1" applyAlignment="1">
      <alignment horizontal="left" vertical="top"/>
    </xf>
    <xf numFmtId="0" fontId="12" fillId="2" borderId="14" xfId="0" applyFont="1" applyFill="1" applyBorder="1" applyAlignment="1">
      <alignment horizontal="left" vertical="top"/>
    </xf>
    <xf numFmtId="0" fontId="14" fillId="2" borderId="32" xfId="0" applyFont="1" applyFill="1" applyBorder="1" applyAlignment="1">
      <alignment horizontal="center" vertical="center"/>
    </xf>
    <xf numFmtId="0" fontId="14" fillId="2" borderId="33" xfId="0" applyFont="1" applyFill="1" applyBorder="1" applyAlignment="1">
      <alignment horizontal="center" vertical="center"/>
    </xf>
    <xf numFmtId="0" fontId="1" fillId="3" borderId="19" xfId="0" applyFont="1" applyFill="1" applyBorder="1" applyAlignment="1">
      <alignment horizontal="left" vertical="top" wrapText="1"/>
    </xf>
    <xf numFmtId="0" fontId="1" fillId="3" borderId="0" xfId="0" applyFont="1" applyFill="1" applyAlignment="1">
      <alignment horizontal="left" vertical="top" wrapText="1"/>
    </xf>
    <xf numFmtId="0" fontId="1" fillId="3" borderId="14" xfId="0" applyFont="1" applyFill="1" applyBorder="1" applyAlignment="1">
      <alignment horizontal="left" vertical="top" wrapText="1"/>
    </xf>
    <xf numFmtId="0" fontId="1" fillId="3" borderId="42" xfId="0" applyFont="1" applyFill="1" applyBorder="1" applyAlignment="1">
      <alignment vertical="top" wrapText="1"/>
    </xf>
    <xf numFmtId="0" fontId="1" fillId="3" borderId="15" xfId="0" applyFont="1" applyFill="1" applyBorder="1" applyAlignment="1">
      <alignment vertical="top" wrapText="1"/>
    </xf>
    <xf numFmtId="0" fontId="21" fillId="3" borderId="26" xfId="1" applyFill="1" applyBorder="1" applyAlignment="1" applyProtection="1">
      <alignment horizontal="left" vertical="top" wrapText="1"/>
    </xf>
    <xf numFmtId="0" fontId="21" fillId="3" borderId="0" xfId="1" applyFill="1" applyBorder="1" applyAlignment="1" applyProtection="1">
      <alignment horizontal="left" vertical="top" wrapText="1"/>
    </xf>
    <xf numFmtId="0" fontId="21" fillId="0" borderId="0" xfId="1" applyFill="1" applyAlignment="1"/>
    <xf numFmtId="0" fontId="1" fillId="3" borderId="20" xfId="0" applyFont="1" applyFill="1" applyBorder="1" applyAlignment="1">
      <alignment horizontal="left" vertical="top" wrapText="1"/>
    </xf>
    <xf numFmtId="0" fontId="1" fillId="3" borderId="25" xfId="0" applyFont="1" applyFill="1" applyBorder="1" applyAlignment="1">
      <alignment horizontal="left" vertical="top" wrapText="1"/>
    </xf>
    <xf numFmtId="0" fontId="21" fillId="3" borderId="32" xfId="1" applyFill="1" applyBorder="1" applyAlignment="1" applyProtection="1">
      <alignment vertical="top" wrapText="1"/>
    </xf>
    <xf numFmtId="0" fontId="21" fillId="3" borderId="31" xfId="1" applyFill="1" applyBorder="1" applyAlignment="1" applyProtection="1">
      <alignment vertical="top" wrapText="1"/>
    </xf>
    <xf numFmtId="0" fontId="21" fillId="3" borderId="33" xfId="1" applyFill="1" applyBorder="1" applyAlignment="1" applyProtection="1">
      <alignment vertical="top" wrapText="1"/>
    </xf>
    <xf numFmtId="0" fontId="1" fillId="3" borderId="32" xfId="1" applyFont="1" applyFill="1" applyBorder="1" applyAlignment="1" applyProtection="1">
      <alignment horizontal="left" vertical="top" wrapText="1"/>
    </xf>
    <xf numFmtId="0" fontId="1" fillId="3" borderId="31" xfId="1" applyFont="1" applyFill="1" applyBorder="1" applyAlignment="1" applyProtection="1">
      <alignment horizontal="left" vertical="top" wrapText="1"/>
    </xf>
    <xf numFmtId="0" fontId="1" fillId="3" borderId="33" xfId="1" applyFont="1" applyFill="1" applyBorder="1" applyAlignment="1" applyProtection="1">
      <alignment horizontal="left" vertical="top" wrapText="1"/>
    </xf>
    <xf numFmtId="0" fontId="1" fillId="3" borderId="15" xfId="0" applyFont="1" applyFill="1" applyBorder="1" applyAlignment="1">
      <alignment horizontal="left" vertical="top" wrapText="1"/>
    </xf>
    <xf numFmtId="0" fontId="1" fillId="3" borderId="43" xfId="0" applyFont="1" applyFill="1" applyBorder="1" applyAlignment="1">
      <alignment horizontal="left" vertical="top" wrapText="1"/>
    </xf>
    <xf numFmtId="0" fontId="1" fillId="8" borderId="42" xfId="0" applyFont="1" applyFill="1" applyBorder="1" applyAlignment="1" applyProtection="1">
      <alignment vertical="center" wrapText="1"/>
      <protection locked="0"/>
    </xf>
    <xf numFmtId="0" fontId="1" fillId="8" borderId="15" xfId="0" applyFont="1" applyFill="1" applyBorder="1" applyAlignment="1" applyProtection="1">
      <alignment vertical="center" wrapText="1"/>
      <protection locked="0"/>
    </xf>
    <xf numFmtId="0" fontId="1" fillId="8" borderId="16" xfId="0" applyFont="1" applyFill="1" applyBorder="1" applyAlignment="1" applyProtection="1">
      <alignment vertical="center" wrapText="1"/>
      <protection locked="0"/>
    </xf>
    <xf numFmtId="0" fontId="21" fillId="3" borderId="14" xfId="1" applyFill="1" applyBorder="1" applyAlignment="1" applyProtection="1">
      <alignment horizontal="left"/>
    </xf>
    <xf numFmtId="0" fontId="1" fillId="3" borderId="45" xfId="0" applyFont="1" applyFill="1" applyBorder="1" applyAlignment="1">
      <alignment horizontal="left" vertical="center"/>
    </xf>
    <xf numFmtId="0" fontId="1" fillId="3" borderId="46" xfId="0" applyFont="1" applyFill="1" applyBorder="1" applyAlignment="1">
      <alignment horizontal="left" vertical="center"/>
    </xf>
    <xf numFmtId="0" fontId="1" fillId="3" borderId="8"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xf>
    <xf numFmtId="0" fontId="12" fillId="2" borderId="38"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39" xfId="0" applyFont="1" applyFill="1" applyBorder="1" applyAlignment="1">
      <alignment horizontal="left" vertical="center"/>
    </xf>
    <xf numFmtId="0" fontId="13" fillId="2" borderId="3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 fillId="3" borderId="38" xfId="0" applyFont="1" applyFill="1" applyBorder="1" applyAlignment="1">
      <alignment vertical="top" wrapText="1"/>
    </xf>
    <xf numFmtId="0" fontId="1" fillId="3" borderId="14" xfId="0" applyFont="1" applyFill="1" applyBorder="1" applyAlignment="1">
      <alignment vertical="top" wrapText="1"/>
    </xf>
    <xf numFmtId="0" fontId="1" fillId="3" borderId="39" xfId="0" applyFont="1" applyFill="1" applyBorder="1" applyAlignment="1">
      <alignment vertical="top" wrapText="1"/>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47" xfId="0" applyFont="1" applyFill="1" applyBorder="1" applyAlignment="1">
      <alignment horizontal="left" vertical="center"/>
    </xf>
    <xf numFmtId="0" fontId="1" fillId="3" borderId="21" xfId="1" applyFont="1" applyFill="1" applyBorder="1" applyAlignment="1" applyProtection="1">
      <alignment horizontal="left" vertical="top" wrapText="1"/>
    </xf>
    <xf numFmtId="0" fontId="1" fillId="3" borderId="24" xfId="1" applyFont="1" applyFill="1" applyBorder="1" applyAlignment="1" applyProtection="1">
      <alignment horizontal="left" vertical="top" wrapText="1"/>
    </xf>
    <xf numFmtId="0" fontId="1" fillId="3" borderId="49" xfId="1" applyFont="1" applyFill="1" applyBorder="1" applyAlignment="1" applyProtection="1">
      <alignment horizontal="left" vertical="top" wrapText="1"/>
    </xf>
    <xf numFmtId="0" fontId="1" fillId="3" borderId="8" xfId="1" applyFont="1" applyFill="1" applyBorder="1" applyAlignment="1" applyProtection="1">
      <alignment horizontal="left" vertical="top" wrapText="1"/>
    </xf>
    <xf numFmtId="0" fontId="1" fillId="3" borderId="1" xfId="1" applyFont="1" applyFill="1" applyBorder="1" applyAlignment="1" applyProtection="1">
      <alignment horizontal="left" vertical="top" wrapText="1"/>
    </xf>
    <xf numFmtId="0" fontId="21" fillId="0" borderId="32" xfId="1" applyFill="1" applyBorder="1" applyAlignment="1" applyProtection="1">
      <alignment horizontal="left" vertical="center" wrapText="1"/>
    </xf>
    <xf numFmtId="0" fontId="21" fillId="0" borderId="31" xfId="1" applyFill="1" applyBorder="1" applyAlignment="1" applyProtection="1">
      <alignment horizontal="left" vertical="center" wrapText="1"/>
    </xf>
    <xf numFmtId="0" fontId="21" fillId="0" borderId="33" xfId="1" applyFill="1" applyBorder="1" applyAlignment="1" applyProtection="1">
      <alignment horizontal="left" vertical="center" wrapText="1"/>
    </xf>
    <xf numFmtId="0" fontId="1" fillId="3" borderId="20" xfId="0" applyFont="1" applyFill="1" applyBorder="1" applyAlignment="1">
      <alignment vertical="top" wrapText="1"/>
    </xf>
    <xf numFmtId="0" fontId="1" fillId="3" borderId="26" xfId="0" applyFont="1" applyFill="1" applyBorder="1" applyAlignment="1">
      <alignment vertical="top" wrapText="1"/>
    </xf>
    <xf numFmtId="0" fontId="1" fillId="3" borderId="25" xfId="0" applyFont="1" applyFill="1" applyBorder="1" applyAlignment="1">
      <alignment vertical="top" wrapText="1"/>
    </xf>
    <xf numFmtId="0" fontId="1" fillId="3" borderId="59" xfId="0" applyFont="1" applyFill="1" applyBorder="1" applyAlignment="1">
      <alignment horizontal="left" vertical="top" wrapText="1"/>
    </xf>
    <xf numFmtId="0" fontId="1" fillId="3" borderId="58" xfId="0" applyFont="1" applyFill="1" applyBorder="1" applyAlignment="1">
      <alignment horizontal="left" vertical="top" wrapText="1"/>
    </xf>
    <xf numFmtId="0" fontId="1" fillId="3" borderId="49" xfId="0" applyFont="1" applyFill="1" applyBorder="1" applyAlignment="1">
      <alignment horizontal="left" vertical="top" wrapText="1"/>
    </xf>
    <xf numFmtId="0" fontId="21" fillId="3" borderId="23" xfId="1" applyFill="1" applyBorder="1" applyAlignment="1" applyProtection="1">
      <alignment vertical="top" wrapText="1"/>
    </xf>
    <xf numFmtId="0" fontId="21" fillId="3" borderId="15" xfId="1" applyFill="1" applyBorder="1" applyAlignment="1" applyProtection="1">
      <alignment vertical="top" wrapText="1"/>
    </xf>
    <xf numFmtId="0" fontId="21" fillId="3" borderId="16" xfId="1" applyFill="1" applyBorder="1" applyAlignment="1" applyProtection="1">
      <alignment vertical="top" wrapText="1"/>
    </xf>
    <xf numFmtId="0" fontId="1" fillId="3" borderId="21" xfId="1" applyFont="1" applyFill="1" applyBorder="1" applyAlignment="1" applyProtection="1">
      <alignment vertical="top" wrapText="1"/>
    </xf>
    <xf numFmtId="0" fontId="1" fillId="3" borderId="24" xfId="1" applyFont="1" applyFill="1" applyBorder="1" applyAlignment="1" applyProtection="1">
      <alignment vertical="top" wrapText="1"/>
    </xf>
    <xf numFmtId="0" fontId="1" fillId="3" borderId="49" xfId="1" applyFont="1" applyFill="1" applyBorder="1" applyAlignment="1" applyProtection="1">
      <alignment vertical="top" wrapText="1"/>
    </xf>
    <xf numFmtId="0" fontId="20" fillId="3" borderId="21" xfId="1" applyFont="1" applyFill="1" applyBorder="1" applyAlignment="1" applyProtection="1">
      <alignment vertical="top" wrapText="1"/>
    </xf>
    <xf numFmtId="0" fontId="20" fillId="3" borderId="24" xfId="1" applyFont="1" applyFill="1" applyBorder="1" applyAlignment="1" applyProtection="1">
      <alignment vertical="top" wrapText="1"/>
    </xf>
    <xf numFmtId="0" fontId="20" fillId="3" borderId="17" xfId="1" applyFont="1" applyFill="1" applyBorder="1" applyAlignment="1" applyProtection="1">
      <alignment vertical="top" wrapText="1"/>
    </xf>
    <xf numFmtId="0" fontId="1" fillId="8" borderId="2" xfId="1" applyFont="1" applyFill="1" applyBorder="1" applyAlignment="1" applyProtection="1">
      <alignment horizontal="left" vertical="top" wrapText="1"/>
      <protection locked="0"/>
    </xf>
    <xf numFmtId="0" fontId="1" fillId="8" borderId="24" xfId="1" applyFont="1" applyFill="1" applyBorder="1" applyAlignment="1" applyProtection="1">
      <alignment horizontal="left" vertical="top" wrapText="1"/>
      <protection locked="0"/>
    </xf>
    <xf numFmtId="0" fontId="1" fillId="8" borderId="17" xfId="1" applyFont="1" applyFill="1" applyBorder="1" applyAlignment="1" applyProtection="1">
      <alignment horizontal="left" vertical="top" wrapText="1"/>
      <protection locked="0"/>
    </xf>
    <xf numFmtId="1" fontId="1" fillId="8" borderId="2" xfId="0" applyNumberFormat="1" applyFont="1" applyFill="1" applyBorder="1" applyAlignment="1" applyProtection="1">
      <alignment vertical="center" wrapText="1"/>
      <protection locked="0"/>
    </xf>
    <xf numFmtId="1" fontId="1" fillId="8" borderId="24" xfId="0" applyNumberFormat="1" applyFont="1" applyFill="1" applyBorder="1" applyAlignment="1" applyProtection="1">
      <alignment vertical="center" wrapText="1"/>
      <protection locked="0"/>
    </xf>
    <xf numFmtId="1" fontId="1" fillId="8" borderId="17" xfId="0" applyNumberFormat="1" applyFont="1" applyFill="1" applyBorder="1" applyAlignment="1" applyProtection="1">
      <alignment vertical="center" wrapText="1"/>
      <protection locked="0"/>
    </xf>
    <xf numFmtId="0" fontId="1" fillId="3" borderId="8" xfId="0" applyFont="1" applyFill="1" applyBorder="1" applyAlignment="1">
      <alignment horizontal="left" vertical="top"/>
    </xf>
    <xf numFmtId="0" fontId="1" fillId="3" borderId="1" xfId="0" applyFont="1" applyFill="1" applyBorder="1" applyAlignment="1">
      <alignment horizontal="left" vertical="top"/>
    </xf>
    <xf numFmtId="0" fontId="1" fillId="3" borderId="70" xfId="1" applyFont="1" applyFill="1" applyBorder="1" applyAlignment="1" applyProtection="1">
      <alignment horizontal="left" vertical="top" wrapText="1"/>
    </xf>
    <xf numFmtId="0" fontId="1" fillId="3" borderId="36" xfId="1" applyFont="1" applyFill="1" applyBorder="1" applyAlignment="1" applyProtection="1">
      <alignment horizontal="left" vertical="top" wrapText="1"/>
    </xf>
    <xf numFmtId="0" fontId="12" fillId="2" borderId="20" xfId="0" applyFont="1" applyFill="1" applyBorder="1" applyAlignment="1">
      <alignment horizontal="left"/>
    </xf>
    <xf numFmtId="0" fontId="12" fillId="2" borderId="26" xfId="0" applyFont="1" applyFill="1" applyBorder="1" applyAlignment="1">
      <alignment horizontal="left"/>
    </xf>
    <xf numFmtId="0" fontId="12" fillId="2" borderId="25" xfId="0" applyFont="1" applyFill="1" applyBorder="1" applyAlignment="1">
      <alignment horizontal="left"/>
    </xf>
    <xf numFmtId="0" fontId="1" fillId="0" borderId="23" xfId="0" applyFont="1" applyBorder="1" applyAlignment="1">
      <alignment vertical="top" wrapText="1"/>
    </xf>
    <xf numFmtId="0" fontId="1" fillId="0" borderId="15" xfId="0" applyFont="1" applyBorder="1" applyAlignment="1">
      <alignment vertical="top" wrapText="1"/>
    </xf>
    <xf numFmtId="0" fontId="21" fillId="0" borderId="24" xfId="1" applyBorder="1" applyAlignment="1" applyProtection="1">
      <alignment vertical="top" wrapText="1"/>
    </xf>
    <xf numFmtId="0" fontId="21" fillId="0" borderId="17" xfId="1" applyBorder="1" applyAlignment="1" applyProtection="1">
      <alignment vertical="top" wrapText="1"/>
    </xf>
    <xf numFmtId="0" fontId="21" fillId="0" borderId="15" xfId="1" applyBorder="1" applyAlignment="1" applyProtection="1">
      <alignment vertical="top" wrapText="1"/>
    </xf>
    <xf numFmtId="0" fontId="21" fillId="0" borderId="16" xfId="1" applyBorder="1" applyAlignment="1" applyProtection="1">
      <alignment vertical="top" wrapText="1"/>
    </xf>
    <xf numFmtId="0" fontId="12" fillId="2" borderId="32" xfId="0" applyFont="1" applyFill="1" applyBorder="1" applyAlignment="1">
      <alignment horizontal="left" vertical="center" wrapText="1"/>
    </xf>
    <xf numFmtId="0" fontId="12" fillId="2" borderId="31"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3" fillId="2" borderId="32"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21" fillId="0" borderId="32" xfId="1" applyFill="1" applyBorder="1" applyAlignment="1" applyProtection="1">
      <alignment horizontal="left" vertical="top" wrapText="1"/>
    </xf>
    <xf numFmtId="0" fontId="21" fillId="0" borderId="31" xfId="1" applyFill="1" applyBorder="1" applyAlignment="1" applyProtection="1">
      <alignment horizontal="left" vertical="top" wrapText="1"/>
    </xf>
    <xf numFmtId="0" fontId="1" fillId="3" borderId="31" xfId="0" applyFont="1" applyFill="1" applyBorder="1" applyAlignment="1">
      <alignment horizontal="left" vertical="top" wrapText="1"/>
    </xf>
    <xf numFmtId="0" fontId="1" fillId="0" borderId="21" xfId="0" applyFont="1" applyBorder="1" applyAlignment="1">
      <alignment vertical="top" wrapText="1"/>
    </xf>
    <xf numFmtId="0" fontId="1" fillId="0" borderId="24" xfId="0" applyFont="1" applyBorder="1" applyAlignment="1">
      <alignment vertical="top" wrapText="1"/>
    </xf>
    <xf numFmtId="0" fontId="17" fillId="0" borderId="0" xfId="0" applyFont="1" applyAlignment="1">
      <alignment horizontal="left" vertical="top" wrapText="1"/>
    </xf>
    <xf numFmtId="0" fontId="0" fillId="0" borderId="0" xfId="0" applyAlignment="1">
      <alignment horizontal="left" vertical="top" wrapText="1"/>
    </xf>
    <xf numFmtId="0" fontId="0" fillId="0" borderId="29" xfId="0" applyBorder="1" applyAlignment="1">
      <alignment horizontal="left" vertical="top" wrapText="1"/>
    </xf>
    <xf numFmtId="0" fontId="4" fillId="0" borderId="0" xfId="0" applyFont="1" applyAlignment="1">
      <alignment horizontal="left" vertical="top" wrapText="1"/>
    </xf>
    <xf numFmtId="0" fontId="7" fillId="0" borderId="0" xfId="0" applyFont="1" applyAlignment="1">
      <alignment horizontal="left" vertical="top" wrapText="1"/>
    </xf>
    <xf numFmtId="0" fontId="7" fillId="0" borderId="29" xfId="0" applyFont="1" applyBorder="1" applyAlignment="1">
      <alignment horizontal="left" vertical="top" wrapText="1"/>
    </xf>
    <xf numFmtId="0" fontId="5" fillId="0" borderId="0" xfId="0" applyFont="1" applyAlignment="1">
      <alignment horizontal="left" vertical="top" wrapText="1"/>
    </xf>
    <xf numFmtId="0" fontId="42" fillId="0" borderId="0" xfId="0" applyFont="1" applyAlignment="1">
      <alignment horizontal="left" vertical="top" wrapText="1"/>
    </xf>
    <xf numFmtId="0" fontId="42" fillId="0" borderId="29" xfId="0" applyFont="1" applyBorder="1" applyAlignment="1">
      <alignment horizontal="left" vertical="top" wrapText="1"/>
    </xf>
    <xf numFmtId="0" fontId="0" fillId="0" borderId="0" xfId="0" applyAlignment="1">
      <alignment horizontal="left" vertical="top"/>
    </xf>
    <xf numFmtId="0" fontId="0" fillId="0" borderId="29" xfId="0" applyBorder="1" applyAlignment="1">
      <alignment horizontal="left" vertical="top"/>
    </xf>
    <xf numFmtId="0" fontId="5" fillId="0" borderId="14" xfId="0" applyFont="1" applyBorder="1" applyAlignment="1">
      <alignment horizontal="left" vertical="top" wrapText="1"/>
    </xf>
    <xf numFmtId="0" fontId="0" fillId="0" borderId="14" xfId="0" applyBorder="1" applyAlignment="1">
      <alignment horizontal="left" vertical="top"/>
    </xf>
    <xf numFmtId="0" fontId="0" fillId="0" borderId="39" xfId="0" applyBorder="1" applyAlignment="1">
      <alignment horizontal="left" vertical="top"/>
    </xf>
    <xf numFmtId="0" fontId="21" fillId="0" borderId="14" xfId="1" applyFill="1" applyBorder="1" applyAlignment="1">
      <alignment horizontal="left" vertical="top" wrapText="1"/>
    </xf>
    <xf numFmtId="0" fontId="15" fillId="2" borderId="32" xfId="0" applyFont="1" applyFill="1"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left" vertical="top" wrapText="1"/>
    </xf>
    <xf numFmtId="0" fontId="0" fillId="0" borderId="25" xfId="0" applyBorder="1" applyAlignment="1">
      <alignment horizontal="left" vertical="top" wrapText="1"/>
    </xf>
    <xf numFmtId="0" fontId="5" fillId="0" borderId="39" xfId="0" applyFont="1" applyBorder="1" applyAlignment="1">
      <alignment horizontal="left" vertical="top" wrapText="1"/>
    </xf>
    <xf numFmtId="0" fontId="14" fillId="2" borderId="32"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3" xfId="0" applyFont="1" applyFill="1" applyBorder="1" applyAlignment="1">
      <alignment horizontal="center" vertical="center" wrapText="1"/>
    </xf>
    <xf numFmtId="0" fontId="21" fillId="0" borderId="32" xfId="1" applyFill="1" applyBorder="1" applyAlignment="1">
      <alignment horizontal="left" vertical="top" wrapText="1"/>
    </xf>
    <xf numFmtId="0" fontId="21" fillId="0" borderId="31" xfId="1" applyFill="1" applyBorder="1" applyAlignment="1">
      <alignment horizontal="left" vertical="top" wrapText="1"/>
    </xf>
    <xf numFmtId="0" fontId="8" fillId="0" borderId="19" xfId="0" applyFont="1" applyBorder="1" applyAlignment="1">
      <alignment horizontal="center" vertical="top"/>
    </xf>
    <xf numFmtId="0" fontId="8" fillId="0" borderId="0" xfId="0" applyFont="1" applyAlignment="1">
      <alignment horizontal="center" vertical="top"/>
    </xf>
    <xf numFmtId="0" fontId="8" fillId="0" borderId="29" xfId="0" applyFont="1" applyBorder="1" applyAlignment="1">
      <alignment horizontal="center" vertical="top"/>
    </xf>
    <xf numFmtId="0" fontId="5" fillId="0" borderId="29" xfId="0" applyFont="1" applyBorder="1" applyAlignment="1">
      <alignment horizontal="left" vertical="top" wrapText="1"/>
    </xf>
    <xf numFmtId="0" fontId="0" fillId="6" borderId="35" xfId="0" applyFill="1" applyBorder="1" applyAlignment="1">
      <alignment horizontal="center" vertical="top" wrapText="1"/>
    </xf>
    <xf numFmtId="0" fontId="0" fillId="6" borderId="0" xfId="0" applyFill="1" applyAlignment="1">
      <alignment horizontal="center" vertical="top" wrapText="1"/>
    </xf>
    <xf numFmtId="0" fontId="0" fillId="0" borderId="45" xfId="0" applyBorder="1" applyAlignment="1">
      <alignment horizontal="left" vertical="top" wrapText="1"/>
    </xf>
    <xf numFmtId="0" fontId="0" fillId="0" borderId="47" xfId="0" applyBorder="1" applyAlignment="1">
      <alignment horizontal="left" vertical="top" wrapText="1"/>
    </xf>
    <xf numFmtId="0" fontId="26" fillId="0" borderId="38" xfId="0" applyFont="1" applyBorder="1" applyAlignment="1">
      <alignment horizontal="center" vertical="top"/>
    </xf>
    <xf numFmtId="0" fontId="26" fillId="0" borderId="14" xfId="0" applyFont="1" applyBorder="1" applyAlignment="1">
      <alignment horizontal="center" vertical="top"/>
    </xf>
    <xf numFmtId="0" fontId="26" fillId="0" borderId="39" xfId="0" applyFont="1" applyBorder="1" applyAlignment="1">
      <alignment horizontal="center" vertical="top"/>
    </xf>
    <xf numFmtId="0" fontId="21" fillId="0" borderId="19" xfId="1" applyBorder="1" applyAlignment="1">
      <alignment horizontal="center" vertical="center" wrapText="1"/>
    </xf>
    <xf numFmtId="0" fontId="21" fillId="0" borderId="0" xfId="1" applyBorder="1" applyAlignment="1">
      <alignment horizontal="center" vertical="center" wrapText="1"/>
    </xf>
    <xf numFmtId="0" fontId="21" fillId="0" borderId="20" xfId="1" applyBorder="1" applyAlignment="1">
      <alignment horizontal="center" vertical="center" wrapText="1"/>
    </xf>
    <xf numFmtId="0" fontId="21" fillId="0" borderId="26" xfId="1" applyBorder="1" applyAlignment="1">
      <alignment horizontal="center" vertical="center" wrapText="1"/>
    </xf>
    <xf numFmtId="0" fontId="0" fillId="0" borderId="19" xfId="0" applyBorder="1" applyAlignment="1">
      <alignment horizontal="center" vertical="top"/>
    </xf>
    <xf numFmtId="0" fontId="0" fillId="0" borderId="0" xfId="0" applyAlignment="1">
      <alignment horizontal="center" vertical="top"/>
    </xf>
  </cellXfs>
  <cellStyles count="5">
    <cellStyle name="Comma" xfId="3" builtinId="3"/>
    <cellStyle name="Currency" xfId="2" builtinId="4"/>
    <cellStyle name="Hyperlink" xfId="1" builtinId="8" customBuiltin="1"/>
    <cellStyle name="Locked" xfId="4" xr:uid="{2267ADC7-546C-4AF4-B06E-2668CD0D5187}"/>
    <cellStyle name="Normal" xfId="0" builtinId="0" customBuiltin="1"/>
  </cellStyles>
  <dxfs count="373">
    <dxf>
      <numFmt numFmtId="166" formatCode=";;;"/>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fill>
        <patternFill>
          <bgColor rgb="FFFFD966"/>
        </patternFill>
      </fill>
    </dxf>
    <dxf>
      <fill>
        <patternFill>
          <bgColor theme="5" tint="0.59996337778862885"/>
        </patternFill>
      </fill>
    </dxf>
    <dxf>
      <numFmt numFmtId="166" formatCode=";;;"/>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E6B8B9"/>
        </patternFill>
      </fill>
    </dxf>
    <dxf>
      <fill>
        <patternFill>
          <bgColor theme="5" tint="0.59996337778862885"/>
        </patternFill>
      </fill>
    </dxf>
    <dxf>
      <fill>
        <patternFill>
          <bgColor theme="5" tint="0.59996337778862885"/>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ont>
        <b/>
        <i val="0"/>
        <color theme="5"/>
      </font>
      <fill>
        <patternFill patternType="none">
          <bgColor auto="1"/>
        </patternFill>
      </fill>
    </dxf>
    <dxf>
      <font>
        <b/>
        <i val="0"/>
        <color theme="5"/>
      </font>
      <fill>
        <patternFill patternType="none">
          <bgColor auto="1"/>
        </patternFill>
      </fill>
    </dxf>
    <dxf>
      <font>
        <b/>
        <i val="0"/>
        <color theme="5"/>
      </font>
      <fill>
        <patternFill patternType="none">
          <bgColor auto="1"/>
        </patternFill>
      </fill>
    </dxf>
    <dxf>
      <font>
        <b val="0"/>
        <i val="0"/>
        <color auto="1"/>
      </font>
    </dxf>
    <dxf>
      <font>
        <b val="0"/>
        <i val="0"/>
        <color auto="1"/>
      </font>
    </dxf>
    <dxf>
      <fill>
        <patternFill>
          <bgColor theme="5" tint="0.59996337778862885"/>
        </patternFill>
      </fill>
    </dxf>
    <dxf>
      <fill>
        <patternFill>
          <bgColor theme="5" tint="0.59996337778862885"/>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font>
        <b/>
        <i val="0"/>
        <strike val="0"/>
        <color rgb="FFC0504D"/>
      </font>
    </dxf>
    <dxf>
      <fill>
        <patternFill>
          <bgColor rgb="FFFFD966"/>
        </patternFill>
      </fill>
    </dxf>
    <dxf>
      <fill>
        <patternFill>
          <bgColor rgb="FFEBB8B7"/>
        </patternFill>
      </fill>
    </dxf>
    <dxf>
      <numFmt numFmtId="166" formatCode=";;;"/>
      <fill>
        <patternFill>
          <bgColor theme="0" tint="-0.499984740745262"/>
        </patternFill>
      </fill>
    </dxf>
    <dxf>
      <numFmt numFmtId="166" formatCode=";;;"/>
      <fill>
        <patternFill>
          <bgColor theme="0" tint="-0.499984740745262"/>
        </patternFill>
      </fill>
    </dxf>
    <dxf>
      <font>
        <color theme="0" tint="-0.499984740745262"/>
      </font>
      <fill>
        <patternFill>
          <bgColor theme="0" tint="-0.499984740745262"/>
        </patternFill>
      </fill>
    </dxf>
    <dxf>
      <numFmt numFmtId="166" formatCode=";;;"/>
      <fill>
        <patternFill>
          <bgColor theme="0" tint="-0.499984740745262"/>
        </patternFill>
      </fill>
    </dxf>
    <dxf>
      <font>
        <color theme="0" tint="-0.499984740745262"/>
      </font>
      <numFmt numFmtId="166" formatCode=";;;"/>
      <fill>
        <patternFill>
          <bgColor theme="0" tint="-0.499984740745262"/>
        </patternFill>
      </fill>
    </dxf>
    <dxf>
      <fill>
        <patternFill>
          <bgColor rgb="FFFFD966"/>
        </patternFill>
      </fill>
    </dxf>
    <dxf>
      <fill>
        <patternFill>
          <bgColor theme="5" tint="0.59996337778862885"/>
        </patternFill>
      </fill>
    </dxf>
    <dxf>
      <numFmt numFmtId="166" formatCode=";;;"/>
      <fill>
        <patternFill>
          <bgColor theme="0" tint="-0.499984740745262"/>
        </patternFill>
      </fill>
    </dxf>
    <dxf>
      <numFmt numFmtId="166" formatCode=";;;"/>
      <fill>
        <patternFill>
          <bgColor theme="0" tint="-0.499984740745262"/>
        </patternFill>
      </fill>
    </dxf>
    <dxf>
      <numFmt numFmtId="166" formatCode=";;;"/>
      <fill>
        <patternFill>
          <bgColor theme="0" tint="-0.499984740745262"/>
        </patternFill>
      </fill>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general"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indexed="64"/>
        </left>
        <right style="medium">
          <color indexed="64"/>
        </right>
        <bottom style="medium">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vertical/>
        <horizontal/>
      </border>
      <protection locked="1" hidden="0"/>
    </dxf>
    <dxf>
      <border outline="0">
        <left style="medium">
          <color indexed="64"/>
        </left>
        <right style="medium">
          <color indexed="64"/>
        </right>
        <top style="medium">
          <color indexed="64"/>
        </top>
        <bottom style="thin">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center" textRotation="0" wrapText="0" indent="0"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rgb="FF000000"/>
        <name val="Arial"/>
        <family val="2"/>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medium">
          <color indexed="64"/>
        </right>
        <top style="medium">
          <color indexed="64"/>
        </top>
        <bottom style="medium">
          <color indexed="64"/>
        </bottom>
      </border>
      <protection locked="1"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medium">
          <color indexed="64"/>
        </top>
        <bottom/>
      </border>
    </dxf>
    <dxf>
      <border outline="0">
        <left style="medium">
          <color indexed="64"/>
        </left>
        <right style="thin">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rgb="FF000000"/>
        <name val="Arial"/>
        <family val="2"/>
        <scheme val="none"/>
      </font>
      <alignment horizontal="left" vertical="top" textRotation="0" wrapText="0" indent="0" justifyLastLine="0" shrinkToFit="0" readingOrder="0"/>
      <border diagonalUp="0" diagonalDown="0">
        <left/>
        <right/>
        <top style="thin">
          <color indexed="64"/>
        </top>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medium">
          <color indexed="64"/>
        </left>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medium">
          <color indexed="64"/>
        </top>
        <bottom style="medium">
          <color indexed="64"/>
        </bottom>
        <vertical/>
        <horizontal style="medium">
          <color indexed="64"/>
        </horizontal>
      </border>
    </dxf>
    <dxf>
      <border>
        <top style="medium">
          <color indexed="64"/>
        </top>
      </border>
    </dxf>
    <dxf>
      <border diagonalUp="0" diagonalDown="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medium">
          <color indexed="64"/>
        </right>
        <top/>
        <bottom/>
        <vertical style="medium">
          <color indexed="64"/>
        </vertical>
        <horizontal style="medium">
          <color indexed="64"/>
        </horizontal>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medium">
          <color indexed="64"/>
        </top>
        <bottom style="thin">
          <color indexed="64"/>
        </bottom>
        <vertical style="thin">
          <color indexed="64"/>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medium">
          <color indexed="64"/>
        </top>
        <bottom style="thin">
          <color indexed="64"/>
        </bottom>
        <vertical style="thin">
          <color indexed="64"/>
        </vertical>
        <horizontal/>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strike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5"/>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medium">
          <color indexed="64"/>
        </top>
        <bottom/>
        <vertical/>
        <horizontal/>
      </border>
      <protection locked="1" hidden="0"/>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medium">
          <color indexed="64"/>
        </top>
        <bottom/>
        <vertical/>
        <horizontal/>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medium">
          <color indexed="64"/>
        </top>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1"/>
        <color theme="5"/>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medium">
          <color indexed="64"/>
        </top>
        <bottom/>
        <vertical/>
        <horizontal/>
      </border>
      <protection locked="1" hidden="0"/>
    </dxf>
    <dxf>
      <font>
        <b val="0"/>
        <i val="0"/>
        <strike val="0"/>
        <condense val="0"/>
        <extend val="0"/>
        <outline val="0"/>
        <shadow val="0"/>
        <u val="none"/>
        <vertAlign val="baseline"/>
        <sz val="11"/>
        <color rgb="FF000000"/>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medium">
          <color indexed="64"/>
        </top>
        <bottom/>
        <vertical/>
        <horizontal/>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medium">
          <color indexed="64"/>
        </top>
        <bottom/>
        <vertical/>
        <horizontal/>
      </border>
    </dxf>
    <dxf>
      <font>
        <b val="0"/>
        <i val="0"/>
        <strike val="0"/>
        <condense val="0"/>
        <extend val="0"/>
        <outline val="0"/>
        <shadow val="0"/>
        <u val="none"/>
        <vertAlign val="baseline"/>
        <sz val="11"/>
        <color rgb="FF000000"/>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medium">
          <color indexed="64"/>
        </top>
        <bottom/>
        <vertical/>
        <horizontal/>
      </border>
    </dxf>
    <dxf>
      <border outline="0">
        <top style="medium">
          <color indexed="64"/>
        </top>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right style="thin">
          <color indexed="64"/>
        </right>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medium">
          <color indexed="64"/>
        </left>
        <bottom style="medium">
          <color indexed="64"/>
        </bottom>
      </border>
    </dxf>
    <dxf>
      <font>
        <b val="0"/>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FF0000"/>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0"/>
        <name val="Arial"/>
        <family val="2"/>
        <scheme val="none"/>
      </font>
      <alignment horizontal="left" vertical="top" textRotation="0" wrapText="1" indent="0" justifyLastLine="0" shrinkToFit="0" readingOrder="0"/>
      <border diagonalUp="0" diagonalDown="0">
        <left style="medium">
          <color indexed="64"/>
        </left>
        <right style="thin">
          <color indexed="64"/>
        </right>
        <top/>
        <bottom style="thin">
          <color indexed="64"/>
        </bottom>
        <vertical/>
        <horizontal/>
      </border>
    </dxf>
    <dxf>
      <border outline="0">
        <right style="medium">
          <color indexed="64"/>
        </right>
      </border>
    </dxf>
    <dxf>
      <font>
        <b val="0"/>
        <strike val="0"/>
        <outline val="0"/>
        <shadow val="0"/>
        <color auto="1"/>
        <name val="Arial"/>
        <family val="2"/>
        <scheme val="none"/>
      </font>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medium">
          <color indexed="64"/>
        </right>
        <top/>
        <bottom/>
      </border>
      <protection locked="1" hidden="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rgb="FF000000"/>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val="0"/>
        <strike val="0"/>
        <outline val="0"/>
        <shadow val="0"/>
        <color auto="1"/>
        <name val="Arial"/>
        <family val="2"/>
        <scheme val="none"/>
      </font>
    </dxf>
    <dxf>
      <font>
        <strike val="0"/>
        <outline val="0"/>
        <shadow val="0"/>
        <vertAlign val="baseline"/>
        <color auto="1"/>
        <name val="Arial"/>
        <family val="2"/>
        <scheme val="none"/>
      </font>
      <numFmt numFmtId="0" formatCode="General"/>
      <border diagonalUp="0" diagonalDown="0">
        <left style="thin">
          <color indexed="64"/>
        </left>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family val="2"/>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vertical/>
        <horizontal/>
      </border>
    </dxf>
    <dxf>
      <border diagonalUp="0" diagonalDown="0">
        <left style="medium">
          <color indexed="64"/>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bottom/>
      </border>
    </dxf>
    <dxf>
      <border outline="0">
        <left style="medium">
          <color indexed="64"/>
        </left>
        <right style="thin">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medium">
          <color indexed="64"/>
        </top>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medium">
          <color indexed="64"/>
        </top>
        <bottom/>
      </border>
      <protection locked="1" hidden="0"/>
    </dxf>
    <dxf>
      <border outline="0">
        <left style="medium">
          <color indexed="64"/>
        </left>
        <right style="medium">
          <color indexed="64"/>
        </right>
        <top style="medium">
          <color indexed="64"/>
        </top>
        <bottom style="thin">
          <color indexed="64"/>
        </bottom>
      </border>
    </dxf>
    <dxf>
      <alignment horizontal="left" vertical="top" textRotation="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alignment horizontal="left" vertical="top" textRotation="0" wrapText="1" indent="0" justifyLastLine="0" shrinkToFit="0" readingOrder="0"/>
    </dxf>
    <dxf>
      <border outline="0">
        <left style="medium">
          <color indexed="64"/>
        </left>
        <right style="medium">
          <color indexed="64"/>
        </right>
        <top style="medium">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style="thin">
          <color indexed="64"/>
        </bottom>
      </border>
      <protection locked="0" hidden="0"/>
    </dxf>
    <dxf>
      <alignment horizontal="left" vertical="top" textRotation="0" wrapText="1" indent="0" justifyLastLine="0" shrinkToFit="0" readingOrder="0"/>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style="thin">
          <color indexed="64"/>
        </bottom>
      </border>
      <protection locked="0" hidden="0"/>
    </dxf>
    <dxf>
      <alignment horizontal="left" vertical="top" textRotation="0" wrapText="1" indent="0" justifyLastLine="0" shrinkToFit="0" readingOrder="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rgb="FF000000"/>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64"/>
        </top>
        <bottom style="thin">
          <color indexed="64"/>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auto="1"/>
        <name val="Arial"/>
        <family val="2"/>
        <scheme val="none"/>
      </font>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alignment horizontal="left" vertical="top" textRotation="0" indent="0" justifyLastLine="0" shrinkToFit="0" readingOrder="0"/>
    </dxf>
    <dxf>
      <alignment horizontal="left" vertical="top" textRotation="0" wrapText="1" indent="0" justifyLastLine="0" shrinkToFit="0" readingOrder="0"/>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bottom style="medium">
          <color indexed="64"/>
        </bottom>
      </border>
    </dxf>
    <dxf>
      <alignment horizontal="left" vertical="top" textRotation="0" indent="0" justifyLastLine="0" shrinkToFit="0" readingOrder="0"/>
      <border diagonalUp="0" diagonalDown="0">
        <left style="thin">
          <color indexed="64"/>
        </left>
        <right style="thin">
          <color indexed="64"/>
        </right>
        <top/>
        <bottom/>
        <vertical style="thin">
          <color indexed="64"/>
        </vertical>
        <horizontal/>
      </border>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64"/>
        </top>
        <bottom style="thin">
          <color indexed="64"/>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alignment horizontal="left" vertical="top" textRotation="0" indent="0" justifyLastLine="0" shrinkToFit="0" readingOrder="0"/>
    </dxf>
    <dxf>
      <alignment horizontal="left" vertical="top" textRotation="0" wrapText="1" indent="0" justifyLastLine="0" shrinkToFit="0" readingOrder="0"/>
    </dxf>
    <dxf>
      <border outline="0">
        <top style="thin">
          <color indexed="64"/>
        </top>
      </border>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bottom style="thin">
          <color indexed="64"/>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top style="thin">
          <color indexed="64"/>
        </top>
        <bottom style="thin">
          <color indexed="64"/>
        </bottom>
      </border>
      <protection locked="1" hidden="0"/>
    </dxf>
    <dxf>
      <border outline="0">
        <left style="medium">
          <color indexed="64"/>
        </left>
        <right style="medium">
          <color indexed="64"/>
        </right>
        <top style="thin">
          <color indexed="64"/>
        </top>
        <bottom style="medium">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alignment horizontal="left" vertical="top" textRotation="0"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outline="0">
        <left style="medium">
          <color indexed="64"/>
        </left>
        <right style="medium">
          <color indexed="64"/>
        </right>
        <top/>
        <bottom/>
      </border>
      <protection locked="1" hidden="0"/>
    </dxf>
    <dxf>
      <font>
        <strike val="0"/>
        <outline val="0"/>
        <shadow val="0"/>
        <u val="none"/>
        <vertAlign val="baseline"/>
        <sz val="11"/>
        <color auto="1"/>
        <name val="Arial"/>
        <family val="2"/>
        <scheme val="none"/>
      </font>
      <alignment horizontal="left" vertical="top" textRotation="0" indent="0" justifyLastLine="0" shrinkToFit="0" readingOrder="0"/>
    </dxf>
    <dxf>
      <font>
        <strike val="0"/>
        <outline val="0"/>
        <shadow val="0"/>
        <u val="none"/>
        <vertAlign val="baseline"/>
        <sz val="11"/>
        <color auto="1"/>
        <name val="Arial"/>
        <family val="2"/>
        <scheme val="none"/>
      </font>
      <alignment horizontal="left" vertical="top" textRotation="0" wrapText="1" indent="0" justifyLastLine="0" shrinkToFit="0" readingOrder="0"/>
    </dxf>
    <dxf>
      <border outline="0">
        <left style="medium">
          <color indexed="64"/>
        </left>
        <right style="medium">
          <color indexed="64"/>
        </right>
        <top style="thin">
          <color indexed="64"/>
        </top>
        <bottom style="medium">
          <color indexed="64"/>
        </bottom>
      </border>
    </dxf>
    <dxf>
      <font>
        <strike val="0"/>
        <outline val="0"/>
        <shadow val="0"/>
        <u val="none"/>
        <vertAlign val="baseline"/>
        <sz val="11"/>
        <color auto="1"/>
        <name val="Arial"/>
        <family val="2"/>
        <scheme val="none"/>
      </font>
      <alignment horizontal="left" vertical="top" textRotation="0" indent="0" justifyLastLine="0" shrinkToFit="0" readingOrder="0"/>
    </dxf>
    <dxf>
      <border>
        <bottom style="medium">
          <color indexed="64"/>
        </bottom>
      </border>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border>
      <protection locked="1" hidden="0"/>
    </dxf>
    <dxf>
      <alignment horizontal="left" vertical="top" textRotation="0" indent="0" justifyLastLine="0" shrinkToFit="0" readingOrder="0"/>
    </dxf>
    <dxf>
      <alignment horizontal="left" vertical="top" textRotation="0" wrapText="1" indent="0" justifyLastLine="0" shrinkToFit="0" readingOrder="0"/>
    </dxf>
    <dxf>
      <border outline="0">
        <right style="medium">
          <color indexed="64"/>
        </right>
        <top style="double">
          <color indexed="64"/>
        </top>
        <bottom style="medium">
          <color indexed="64"/>
        </bottom>
      </border>
    </dxf>
    <dxf>
      <alignment horizontal="lef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alignment horizontal="left" vertical="top" textRotation="0" indent="0" justifyLastLine="0" shrinkToFit="0" readingOrder="0"/>
    </dxf>
    <dxf>
      <border diagonalUp="0" diagonalDown="0">
        <left/>
        <right/>
        <top/>
        <bottom/>
        <vertical/>
        <horizontal/>
      </border>
    </dxf>
    <dxf>
      <border>
        <left style="thick">
          <color auto="1"/>
        </left>
        <right style="thick">
          <color auto="1"/>
        </right>
        <top style="thick">
          <color auto="1"/>
        </top>
        <bottom style="thick">
          <color auto="1"/>
        </bottom>
      </border>
    </dxf>
    <dxf>
      <border>
        <left style="thick">
          <color auto="1"/>
        </left>
        <right style="thick">
          <color auto="1"/>
        </right>
        <top style="thick">
          <color auto="1"/>
        </top>
        <bottom style="thick">
          <color auto="1"/>
        </bottom>
      </border>
    </dxf>
  </dxfs>
  <tableStyles count="3" defaultTableStyle="TableStyleMedium2" defaultPivotStyle="PivotStyleLight16">
    <tableStyle name="Table Style 1" pivot="0" count="1" xr9:uid="{23525C32-8237-4568-B428-1A365ACE03B4}">
      <tableStyleElement type="wholeTable" dxfId="372"/>
    </tableStyle>
    <tableStyle name="Table Style 2" pivot="0" count="1" xr9:uid="{75346034-F8DB-45B6-8FC7-BB12BB191787}">
      <tableStyleElement type="wholeTable" dxfId="371"/>
    </tableStyle>
    <tableStyle name="Table Style 3" pivot="0" count="1" xr9:uid="{A4BFAB11-1069-46A3-A656-51E782876F5D}">
      <tableStyleElement type="wholeTable" dxfId="370"/>
    </tableStyle>
  </tableStyles>
  <colors>
    <mruColors>
      <color rgb="FFC0504D"/>
      <color rgb="FFFFD966"/>
      <color rgb="FFFFFFCC"/>
      <color rgb="FFE6B8B7"/>
      <color rgb="FFEBB8B7"/>
      <color rgb="FF808080"/>
      <color rgb="FFFFDCDC"/>
      <color rgb="FFFF99CC"/>
      <color rgb="FFDCDCFF"/>
      <color rgb="FFDCD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96DFCB7-3306-45F7-9A07-C90E4E61CA97}" name="PI_1S_CBP_1.A.218" displayName="PI_1S_CBP_1.A.218" ref="A15:B25" totalsRowShown="0" headerRowDxfId="369" dataDxfId="367" headerRowBorderDxfId="368" tableBorderDxfId="366" totalsRowBorderDxfId="365">
  <autoFilter ref="A15:B25" xr:uid="{CE6E3C5F-FA67-4D3F-AA2D-718C5A82436D}">
    <filterColumn colId="0" hiddenButton="1"/>
    <filterColumn colId="1" hiddenButton="1"/>
  </autoFilter>
  <tableColumns count="2">
    <tableColumn id="1" xr3:uid="{0B8C4E87-18CC-4473-BFDC-D2C286D82DBB}" name="Requested Information" dataDxfId="364"/>
    <tableColumn id="2" xr3:uid="{5A56B81A-2ABC-43C6-A2FB-B818DDEEFA7F}" name="Response" dataDxfId="363"/>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41287E6C-CACD-4EEE-9BF6-C5DD70E81479}" name="PI_1S_CBP_IV.B.163" displayName="PI_1S_CBP_IV.B.163" ref="A104:B108" totalsRowShown="0" headerRowDxfId="312" dataDxfId="310" headerRowBorderDxfId="311" tableBorderDxfId="309">
  <autoFilter ref="A104:B108" xr:uid="{40F98DAF-6FC7-4E11-A9BF-374D7A295AAD}">
    <filterColumn colId="0" hiddenButton="1"/>
    <filterColumn colId="1" hiddenButton="1"/>
  </autoFilter>
  <tableColumns count="2">
    <tableColumn id="1" xr3:uid="{2D04E0C8-F57D-4CB3-8912-CF901423535E}" name="Requested Information" dataDxfId="308"/>
    <tableColumn id="2" xr3:uid="{02BF249C-E4C6-4DB9-A9A6-D34170840D56}" name="Response" dataDxfId="30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6EA8CD9E-625D-4E48-A6B2-110B34AB1B2D}" name="PI_1S_CBP__IV.C.164" displayName="PI_1S_CBP__IV.C.164" ref="A112:B116" totalsRowShown="0" headerRowDxfId="306" dataDxfId="304" headerRowBorderDxfId="305" tableBorderDxfId="303">
  <autoFilter ref="A112:B116" xr:uid="{C3900FAF-C386-4BC9-A856-750AC62B347D}">
    <filterColumn colId="0" hiddenButton="1"/>
    <filterColumn colId="1" hiddenButton="1"/>
  </autoFilter>
  <tableColumns count="2">
    <tableColumn id="1" xr3:uid="{4367196F-D6B4-4AF6-91E0-246B4F601406}" name="Requested Information" dataDxfId="302"/>
    <tableColumn id="2" xr3:uid="{C323C3C1-CCBA-4674-8B88-1C27C6AF920C}" name="Response" dataDxfId="301"/>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5A19CAFB-2AB7-49DF-B721-83BAC29C3069}" name="PI_1S_CBP__IV.D.165" displayName="PI_1S_CBP__IV.D.165" ref="A118:B120" totalsRowShown="0" headerRowDxfId="300" dataDxfId="298" headerRowBorderDxfId="299" tableBorderDxfId="297">
  <autoFilter ref="A118:B120" xr:uid="{0D82CA7C-BD7B-4DE9-A860-46D3E3CBB8DB}">
    <filterColumn colId="0" hiddenButton="1"/>
    <filterColumn colId="1" hiddenButton="1"/>
  </autoFilter>
  <tableColumns count="2">
    <tableColumn id="1" xr3:uid="{23611926-2F75-4268-AF3B-378A8AADFF9F}" name="Requested Information" dataDxfId="296"/>
    <tableColumn id="2" xr3:uid="{1FAF9058-65E3-4CEB-8D38-7C6E010975E3}" name="Response" dataDxfId="29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F60BD3CB-123C-405B-B5D5-C57AB6C90353}" name="PI_1S_CBP__IV.E.166" displayName="PI_1S_CBP__IV.E.166" ref="A124:B128" totalsRowShown="0" headerRowDxfId="294" dataDxfId="292" headerRowBorderDxfId="293" tableBorderDxfId="291" headerRowCellStyle="Hyperlink">
  <autoFilter ref="A124:B128" xr:uid="{A673A435-5803-48E6-A04A-F71A384FC598}">
    <filterColumn colId="0" hiddenButton="1"/>
    <filterColumn colId="1" hiddenButton="1"/>
  </autoFilter>
  <tableColumns count="2">
    <tableColumn id="1" xr3:uid="{8D948A72-61C4-4124-8FC9-2039F33B1B51}" name="Requested Information" dataDxfId="290"/>
    <tableColumn id="2" xr3:uid="{C364106A-0047-4578-B318-65241A8E4E6B}" name="Response" dataDxfId="28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4D870D67-62A4-416C-968D-68D6FE55D10C}" name="PI_1S_CBP__IV.D.267" displayName="PI_1S_CBP__IV.D.267" ref="A132:B139" totalsRowShown="0" headerRowDxfId="288" dataDxfId="286" headerRowBorderDxfId="287" tableBorderDxfId="285" headerRowCellStyle="Hyperlink">
  <autoFilter ref="A132:B139" xr:uid="{587D726A-D2F8-4254-8BFF-DB7BA6C7480A}">
    <filterColumn colId="0" hiddenButton="1"/>
    <filterColumn colId="1" hiddenButton="1"/>
  </autoFilter>
  <tableColumns count="2">
    <tableColumn id="1" xr3:uid="{CDF4DD91-3BF8-4E32-95F5-C0E20A7B3632}" name="Requested Information" dataDxfId="284"/>
    <tableColumn id="2" xr3:uid="{3B9F6317-7B58-4040-B7DA-7879CE3DCCDE}" name="Response" dataDxfId="28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8C05CBF1-060A-458E-913F-30DC808A6FAB}" name="PI_1S_CBP__V.A.168" displayName="PI_1S_CBP__V.A.168" ref="A152:B153" totalsRowShown="0" headerRowDxfId="282" dataDxfId="280" headerRowBorderDxfId="281" tableBorderDxfId="279">
  <autoFilter ref="A152:B153" xr:uid="{D63E0C39-A005-49BD-A148-0CF49F796B15}">
    <filterColumn colId="0" hiddenButton="1"/>
    <filterColumn colId="1" hiddenButton="1"/>
  </autoFilter>
  <tableColumns count="2">
    <tableColumn id="1" xr3:uid="{7BB68FD1-9877-4E0E-913A-BD5028A730B4}" name="Requested Information" dataDxfId="278"/>
    <tableColumn id="2" xr3:uid="{4658A38A-3744-4A7D-A237-A5DC30073BD1}" name="Response" dataDxfId="277"/>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7549A47C-22A1-4349-9C8D-F49203FE08A4}" name="PI_1S_CBP__V.B.169" displayName="PI_1S_CBP__V.B.169" ref="A155:B157" totalsRowShown="0" headerRowDxfId="276" dataDxfId="274" headerRowBorderDxfId="275" tableBorderDxfId="273">
  <autoFilter ref="A155:B157" xr:uid="{B9E1E303-3867-449D-8E7B-266DE11A2C46}">
    <filterColumn colId="0" hiddenButton="1"/>
    <filterColumn colId="1" hiddenButton="1"/>
  </autoFilter>
  <tableColumns count="2">
    <tableColumn id="1" xr3:uid="{7062BD86-7DE8-468D-A3BD-E234FBB27863}" name="Requested Information" dataDxfId="272"/>
    <tableColumn id="2" xr3:uid="{4D481E1D-D061-457F-951E-D5DF14A6CC25}" name="Response" dataDxfId="271"/>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58D8DD7-E92F-4486-B022-2D2CC081D98E}" name="Table5070" displayName="Table5070" ref="A162:B164" totalsRowShown="0" headerRowDxfId="270" dataDxfId="268" headerRowBorderDxfId="269" tableBorderDxfId="267">
  <tableColumns count="2">
    <tableColumn id="1" xr3:uid="{5798D5F1-4B7F-4F50-9F5E-4A8A36B4C15F}" name="Requested Information" dataDxfId="266"/>
    <tableColumn id="2" xr3:uid="{11AD1519-B853-4289-92AE-6DFBFFDDF5B7}" name="Response" dataDxfId="265"/>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2EBA8EAC-1181-4BC7-8418-4A85EB2FEE2E}" name="PI_1S_CBP__VI.C_G71" displayName="PI_1S_CBP__VI.C_G71" ref="A169:B189" totalsRowShown="0" headerRowDxfId="264" dataDxfId="262" headerRowBorderDxfId="263" tableBorderDxfId="261" headerRowCellStyle="Hyperlink">
  <autoFilter ref="A169:B189" xr:uid="{09E0EE15-4503-4F31-8363-D53FE9779D7C}">
    <filterColumn colId="0" hiddenButton="1"/>
    <filterColumn colId="1" hiddenButton="1"/>
  </autoFilter>
  <tableColumns count="2">
    <tableColumn id="1" xr3:uid="{F2826E89-FC31-41BB-9C28-343511AA8FD4}" name="Requested Information" dataDxfId="260"/>
    <tableColumn id="2" xr3:uid="{491BD539-1D86-422F-B45F-B4CDD40417BB}" name="Response" dataDxfId="259"/>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F627B06F-8FA8-4B57-8368-BBBA6A078EF2}" name="PI_1S_CBP_2.172" displayName="PI_1S_CBP_2.172" ref="A73:B74" totalsRowShown="0" headerRowDxfId="258" dataDxfId="257" tableBorderDxfId="256">
  <tableColumns count="2">
    <tableColumn id="1" xr3:uid="{8532F9C3-B881-4B3F-9886-F93C84A80A2A}" name="Requested Information" dataDxfId="255"/>
    <tableColumn id="2" xr3:uid="{0E7E23C4-F663-432C-B882-E26AB8512DBA}" name="Response" dataDxfId="25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FF3A58EC-B8D0-4D2E-8F27-75D5FAF9BE64}" name="PI_1S_CBP_1.A.155" displayName="PI_1S_CBP_1.A.155" ref="A9:B13" totalsRowShown="0" headerRowDxfId="362" dataDxfId="360" headerRowBorderDxfId="361" tableBorderDxfId="359" headerRowCellStyle="Hyperlink">
  <autoFilter ref="A9:B13" xr:uid="{7365A99C-B6D7-4F5D-BEA1-9B8E87700C98}">
    <filterColumn colId="0" hiddenButton="1"/>
    <filterColumn colId="1" hiddenButton="1"/>
  </autoFilter>
  <tableColumns count="2">
    <tableColumn id="1" xr3:uid="{6A319E1E-8F29-4956-A767-5AD67E3CB92F}" name="Standard Permit and Description" dataDxfId="358"/>
    <tableColumn id="2" xr3:uid="{C3221C16-FBD5-4B15-B0A0-15EA628C80B9}" name="Action Type Requested" dataDxfId="35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D1CAB0B8-7DE3-47A7-B2E4-2AFEBCC8CB4B}" name="_6004Checklist_Section_3" displayName="_6004Checklist_Section_3" ref="A13:C14" totalsRowShown="0" headerRowDxfId="253" headerRowBorderDxfId="252" tableBorderDxfId="251">
  <autoFilter ref="A13:C14" xr:uid="{D1CAB0B8-7DE3-47A7-B2E4-2AFEBCC8CB4B}">
    <filterColumn colId="0" hiddenButton="1"/>
    <filterColumn colId="1" hiddenButton="1"/>
    <filterColumn colId="2" hiddenButton="1"/>
  </autoFilter>
  <tableColumns count="3">
    <tableColumn id="1" xr3:uid="{87963C9C-5B09-4274-B923-32DAEB21F561}" name="Condition Number" dataDxfId="250"/>
    <tableColumn id="2" xr3:uid="{7D3F5E24-B5B9-49F1-A1C9-9AB601DD7959}" name="Description" dataDxfId="249"/>
    <tableColumn id="3" xr3:uid="{139BA6D6-C42E-44BA-88DA-AB150FE3DAC9}" name="Response" dataDxfId="248"/>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15301CE-7957-42F9-8269-25401E7F4FFB}" name="_6004Checklist_Section_4" displayName="_6004Checklist_Section_4" ref="A17:D22" totalsRowShown="0" headerRowDxfId="247" headerRowBorderDxfId="246" tableBorderDxfId="245">
  <tableColumns count="4">
    <tableColumn id="3" xr3:uid="{B3E5DD9B-9F5F-4003-8078-2A29EEDD2791}" name="Condition Number" dataDxfId="244"/>
    <tableColumn id="4" xr3:uid="{9EAA317B-82FD-46C3-8B68-4417D6A162EA}" name="Description" dataDxfId="243"/>
    <tableColumn id="1" xr3:uid="{98E74B62-2485-4731-89FB-45DDE5D9E8B0}" name="Response" dataDxfId="242">
      <calculatedColumnFormula>IF(#REF!="","",#REF!)</calculatedColumnFormula>
    </tableColumn>
    <tableColumn id="2" xr3:uid="{3C7285F2-9555-4F6A-994E-0BDB867C5F0E}" name="Notes" dataDxfId="241"/>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53A9136-D1A4-448B-9BA6-F2B788E3CD04}" name="_6004Checklist_Section_5" displayName="_6004Checklist_Section_5" ref="A26:D68" totalsRowShown="0" headerRowDxfId="240" headerRowBorderDxfId="239" tableBorderDxfId="238">
  <tableColumns count="4">
    <tableColumn id="1" xr3:uid="{2BB34908-9C28-4C0C-9B46-2F431A0BD5D9}" name="Condition Number"/>
    <tableColumn id="2" xr3:uid="{E98F4C78-A1F0-4488-BA1D-D414F531293C}" name="Description" dataDxfId="237"/>
    <tableColumn id="3" xr3:uid="{170CC2E3-244D-495F-BF81-DAEF812C0D81}" name="Response" dataDxfId="236"/>
    <tableColumn id="4" xr3:uid="{0D8F8723-F4FD-4888-851B-90345C5D4CB3}" name="Notes" dataDxfId="235"/>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CB0379FD-AB37-4541-BAF2-347CBB043396}" name="_6004Checklist_Section_7" displayName="_6004Checklist_Section_7" ref="A87:D88" totalsRowShown="0" headerRowDxfId="234" headerRowBorderDxfId="233" tableBorderDxfId="232">
  <tableColumns count="4">
    <tableColumn id="1" xr3:uid="{62A32CF5-3C52-4B50-A976-EDCD47E4BD32}" name="Condition Number" dataDxfId="231"/>
    <tableColumn id="2" xr3:uid="{72E947D3-6195-400D-A0A8-D69D2C194CD8}" name="Description" dataDxfId="230"/>
    <tableColumn id="3" xr3:uid="{C521E058-7F0F-4A4F-90D0-606E64F0C948}" name="Response" dataDxfId="229"/>
    <tableColumn id="4" xr3:uid="{58B309DB-BE74-4F9E-A97F-E1283AA22B0D}" name="Notes" dataDxfId="228">
      <calculatedColumnFormula>IF(C88="no","This project does not meet the requirements of the Standard Permit.","N/A")</calculatedColumnFormula>
    </tableColumn>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4FD7631-BD94-4934-B286-1617C38A0C9D}" name="_6004Checklist_Section_6" displayName="_6004Checklist_Section_6" ref="A71:D84" totalsRowShown="0" headerRowDxfId="227" headerRowBorderDxfId="226" tableBorderDxfId="225">
  <tableColumns count="4">
    <tableColumn id="1" xr3:uid="{A109A854-2757-4445-99CD-3F2A6646E6DA}" name="Condition Number"/>
    <tableColumn id="2" xr3:uid="{FD50D52B-997A-43E6-8146-0A2F4D2ED1A2}" name="Description" dataDxfId="224"/>
    <tableColumn id="3" xr3:uid="{E3667554-6AC1-4906-80C0-9B6509190B9E}" name="Response" dataDxfId="223"/>
    <tableColumn id="4" xr3:uid="{662121C5-8F43-4D38-8A5D-92F68222C6AB}" name="Notes" dataDxfId="222"/>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935A354-44FF-45AF-8850-5402CCEDB29F}" name="_6004Checklist_Section_10" displayName="_6004Checklist_Section_10" ref="A140:D153" totalsRowShown="0" tableBorderDxfId="221">
  <tableColumns count="4">
    <tableColumn id="1" xr3:uid="{E4283545-5592-4E2C-AF7C-B3FBA1E3241B}" name="Condition Number" dataDxfId="220"/>
    <tableColumn id="2" xr3:uid="{A6B0E87D-8392-4266-BCE7-D186C848930D}" name="Description" dataDxfId="219"/>
    <tableColumn id="3" xr3:uid="{03906C4D-4210-4F19-8745-06ECD22016FE}" name="Response" dataDxfId="218"/>
    <tableColumn id="4" xr3:uid="{47151038-7E10-4CA6-A5F6-244849C6BDF5}" name="Notes" dataDxfId="217"/>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A8CB8691-908C-400A-8521-24E4B6785903}" name="_6004Checklist_Section_9" displayName="_6004Checklist_Section_9" ref="A127:D137" totalsRowShown="0" tableBorderDxfId="216">
  <tableColumns count="4">
    <tableColumn id="1" xr3:uid="{0823369A-E36A-4F13-AB89-C45028D41E16}" name="Condition Number"/>
    <tableColumn id="2" xr3:uid="{77C6E3A8-A19C-4B60-9166-AB1808E4B853}" name="Description" dataDxfId="215"/>
    <tableColumn id="3" xr3:uid="{8A1A5A3C-3076-4DD6-9A65-62846276A6F2}" name="Response" dataDxfId="214"/>
    <tableColumn id="4" xr3:uid="{AB8A55A7-89AD-46EF-A80A-1B38CA501DDA}" name="Notes" dataDxfId="213"/>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48CBBAF-87DE-4A3A-B42A-80E12E090627}" name="_6004Checklist_Section_8" displayName="_6004Checklist_Section_8" ref="A91:D124" totalsRowShown="0" headerRowDxfId="212" headerRowBorderDxfId="211" tableBorderDxfId="210">
  <tableColumns count="4">
    <tableColumn id="1" xr3:uid="{41520F3A-7B56-4B32-9FE2-657B235980B6}" name="Condition Number" dataDxfId="209"/>
    <tableColumn id="2" xr3:uid="{BB8D9B1B-EF1E-4130-B677-2D76C3566C0F}" name="Description" dataDxfId="208"/>
    <tableColumn id="3" xr3:uid="{B7D1EE5B-E62D-4236-BFB4-5D415BBA35A2}" name="Response" dataDxfId="207"/>
    <tableColumn id="4" xr3:uid="{0D0F7EE8-292B-493A-8657-697F22FD3E4C}" name="Notes" dataDxfId="206"/>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20E4258E-3A89-4934-A4D7-66E676BA2DC1}" name="_6008_Checklist_Section_2" displayName="_6008_Checklist_Section_2" ref="A13:D14" totalsRowShown="0" headerRowDxfId="205" headerRowBorderDxfId="204" tableBorderDxfId="203" totalsRowBorderDxfId="202">
  <autoFilter ref="A13:D14" xr:uid="{20E4258E-3A89-4934-A4D7-66E676BA2DC1}">
    <filterColumn colId="0" hiddenButton="1"/>
    <filterColumn colId="1" hiddenButton="1"/>
    <filterColumn colId="2" hiddenButton="1"/>
    <filterColumn colId="3" hiddenButton="1"/>
  </autoFilter>
  <tableColumns count="4">
    <tableColumn id="1" xr3:uid="{F4367B75-9FA1-428D-B2FC-A16CD374570E}" name="Condition Number" dataDxfId="201"/>
    <tableColumn id="2" xr3:uid="{D548B1D0-6DC9-42A9-A534-9B07EDC3EF64}" name="Description" dataDxfId="200"/>
    <tableColumn id="3" xr3:uid="{CEB1B2E2-7907-4CB7-B1EE-2F9E1FCA41C6}" name="Response" dataDxfId="199"/>
    <tableColumn id="4" xr3:uid="{9ACFA8B9-28A5-44A4-B66B-D14AAA972D30}" name="Notes" dataDxfId="198">
      <calculatedColumnFormula>IF(C14="no","This project does not meet the requirements of the Standard Permit.","N/A")</calculatedColumnFormula>
    </tableColumn>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A809C20F-6F05-4CB7-A98C-04F2CD3A2C73}" name="_6008_Checklist_Section_1" displayName="_6008_Checklist_Section_1" ref="A9:D10" totalsRowShown="0" headerRowDxfId="197" headerRowBorderDxfId="196" tableBorderDxfId="195" totalsRowBorderDxfId="194">
  <tableColumns count="4">
    <tableColumn id="1" xr3:uid="{32EF7B80-5F50-43A6-AB92-3424C6FFC061}" name="Condition Number" dataDxfId="193"/>
    <tableColumn id="2" xr3:uid="{3C30F01E-B84D-4F0F-A30B-08DDA3881C71}" name="Description" dataDxfId="192"/>
    <tableColumn id="3" xr3:uid="{F9091077-2426-4CB7-964B-0E51493D8765}" name="Response" dataDxfId="191"/>
    <tableColumn id="4" xr3:uid="{A70FCD0C-B7B6-4D35-9C9F-F3415093FB40}" name="Notes" dataDxfId="190">
      <calculatedColumnFormula>IF(C10="no","This project does not meet the requirements of the Standard Permit.","N/A")</calculatedColumnFormula>
    </tableColumn>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9CF99286-02CF-40E2-80ED-4B74AA964334}" name="PI_1S_CBP_1.A.356" displayName="PI_1S_CBP_1.A.356" ref="A27:B29" totalsRowShown="0" headerRowDxfId="356" dataDxfId="354" headerRowBorderDxfId="355" tableBorderDxfId="353">
  <autoFilter ref="A27:B29" xr:uid="{F813048D-07AC-4C54-8A07-BA81221B84F4}">
    <filterColumn colId="0" hiddenButton="1"/>
    <filterColumn colId="1" hiddenButton="1"/>
  </autoFilter>
  <tableColumns count="2">
    <tableColumn id="1" xr3:uid="{0A208574-ECA2-4D68-B617-71949FA98CC4}" name="Requested Information" dataDxfId="352"/>
    <tableColumn id="2" xr3:uid="{D2F5928C-7460-46F9-9493-8F55D38E8A85}" name="Response" dataDxfId="351"/>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5227A6E-0448-4A90-BB20-E1F4019B4245}" name="_6008_Checklist_Section_3" displayName="_6008_Checklist_Section_3" ref="A17:D42" totalsRowShown="0" headerRowDxfId="189" headerRowBorderDxfId="188" tableBorderDxfId="187">
  <tableColumns count="4">
    <tableColumn id="1" xr3:uid="{60FCD38E-4AA4-4E5B-8E33-79AA9AB2CCFB}" name="Condition Number" dataDxfId="186"/>
    <tableColumn id="2" xr3:uid="{B7E996E6-8D48-4D33-8574-9CC8F02CF563}" name="Description"/>
    <tableColumn id="3" xr3:uid="{D940ED89-9D56-4C3B-A2AA-144B07E023DF}" name="Response" dataDxfId="185"/>
    <tableColumn id="4" xr3:uid="{9EA531FD-299C-4CC1-9CA4-0100345D638E}" name="Notes" dataDxfId="184"/>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52C11E2-E0BC-497E-92DF-96B547A9756B}" name="Table20_CBP_Section_1" displayName="Table20_CBP_Section_1" ref="A7:B11" totalsRowShown="0" headerRowDxfId="183" headerRowBorderDxfId="182" tableBorderDxfId="181" totalsRowBorderDxfId="180">
  <autoFilter ref="A7:B11" xr:uid="{352C11E2-E0BC-497E-92DF-96B547A9756B}">
    <filterColumn colId="0" hiddenButton="1"/>
    <filterColumn colId="1" hiddenButton="1"/>
  </autoFilter>
  <tableColumns count="2">
    <tableColumn id="1" xr3:uid="{F38E5217-AD6A-47F9-870D-881E26899D80}" name="Requested Information" dataDxfId="179"/>
    <tableColumn id="2" xr3:uid="{822BA3C8-9174-41FD-B522-826050EBDEA9}" name="Response" dataDxfId="178" dataCellStyle="Normal"/>
  </tableColumns>
  <tableStyleInfo name="Table Style 2" showFirstColumn="0" showLastColumn="1"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EB6DA18-2CEE-4520-8AEB-844D7C1CFD22}" name="Table20_CBP_Section_3" displayName="Table20_CBP_Section_3" ref="A23:B25" totalsRowShown="0" headerRowDxfId="177" tableBorderDxfId="176">
  <tableColumns count="2">
    <tableColumn id="1" xr3:uid="{0E96AA37-EF3F-40B6-A102-33FB52D0376F}" name="Requested Information" dataDxfId="175"/>
    <tableColumn id="2" xr3:uid="{CB66D2B4-543B-43CE-B5A9-9BA87CC43BD8}" name="Response" dataDxfId="174"/>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F06FCA2-3B3A-4F99-9A01-1B861B18E08F}" name="Table20_CBP_Section_2" displayName="Table20_CBP_Section_2" ref="A14:B20" totalsRowShown="0" headerRowDxfId="173" tableBorderDxfId="172">
  <tableColumns count="2">
    <tableColumn id="1" xr3:uid="{496DDDA3-E85F-4475-BCF4-BC4056418037}" name="Requested Information" dataDxfId="171"/>
    <tableColumn id="2" xr3:uid="{9F8E6FB3-F5B4-4152-A1EA-A65C20A7FDCA}" name="Response" dataDxfId="170"/>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4397F4-9C4B-434B-B1EA-61605DEC08BE}" name="Table11_CBP_Filter_System_1" displayName="Table11_CBP_Filter_System_1" ref="A6:B15" totalsRowShown="0" headerRowDxfId="169" headerRowBorderDxfId="168" tableBorderDxfId="167" totalsRowBorderDxfId="166">
  <autoFilter ref="A6:B15" xr:uid="{F04397F4-9C4B-434B-B1EA-61605DEC08BE}">
    <filterColumn colId="0" hiddenButton="1"/>
    <filterColumn colId="1" hiddenButton="1"/>
  </autoFilter>
  <tableColumns count="2">
    <tableColumn id="1" xr3:uid="{7DB3C706-ADA8-47D2-8A3A-0515909B0ECE}" name="Requested Information" dataDxfId="165"/>
    <tableColumn id="2" xr3:uid="{D723A242-1B5A-438C-9A30-F837463AE926}" name="Response" dataDxfId="164"/>
  </tableColumns>
  <tableStyleInfo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F9EA4E-241D-437F-8FE7-C3DF7B43F8D2}" name="Table11_CBP_Filter_System_2" displayName="Table11_CBP_Filter_System_2" ref="A18:B27" totalsRowShown="0" headerRowDxfId="163" tableBorderDxfId="162">
  <tableColumns count="2">
    <tableColumn id="1" xr3:uid="{BED4C60B-B90F-4254-A531-A1E5752EACEE}" name="Requested Information" dataDxfId="161"/>
    <tableColumn id="2" xr3:uid="{45FC6151-BCB6-49F2-B03F-072B63F38768}" name="Response" dataDxfId="160"/>
  </tableColumns>
  <tableStyleInfo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B0ECA0-BF81-420F-A008-110C5783AE4B}" name="Table11_CBP_Filter_System_3" displayName="Table11_CBP_Filter_System_3" ref="A30:B39" totalsRowShown="0" headerRowDxfId="159" tableBorderDxfId="158">
  <tableColumns count="2">
    <tableColumn id="1" xr3:uid="{48A095F5-FFB6-4B3C-AC1C-D662ABAD13C3}" name="Requested Information" dataDxfId="157"/>
    <tableColumn id="2" xr3:uid="{729E42ED-96D6-4DF6-A247-D672EEA0CD6B}" name="Response" dataDxfId="156"/>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FC23F6E-5ADB-465D-BBF9-D605C6E4E3A7}" name="Table11_CBP_Filter_System_4" displayName="Table11_CBP_Filter_System_4" ref="A42:B51" totalsRowShown="0" headerRowDxfId="155" tableBorderDxfId="154">
  <tableColumns count="2">
    <tableColumn id="1" xr3:uid="{EED7AB2B-EABE-453F-A997-6C66C9C0AF2E}" name="Requested Information" dataDxfId="153"/>
    <tableColumn id="2" xr3:uid="{2C411864-E3D3-4C7F-BC5B-9F776E0E4C83}" name="Response" dataDxfId="152"/>
  </tableColumns>
  <tableStyleInfo name="Table Style 2"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058526B-F3A7-45A4-94C9-54849B9B1434}" name="Table11_CBP_Filter_System_5" displayName="Table11_CBP_Filter_System_5" ref="A54:B63" totalsRowShown="0" headerRowDxfId="151" headerRowBorderDxfId="150" tableBorderDxfId="149" totalsRowBorderDxfId="148">
  <tableColumns count="2">
    <tableColumn id="1" xr3:uid="{31DDE733-B906-4F57-B939-38A82E667044}" name="Requested Information" dataDxfId="147"/>
    <tableColumn id="2" xr3:uid="{E4CD5B59-3B2B-4F92-976E-A29BEE786B97}" name="Response" dataDxfId="146"/>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195E36C-8D11-4BFA-A087-1ED54803F1B3}" name="Table11_CBP__Table11_CBP_Filter_System_8" displayName="Table11_CBP__Table11_CBP_Filter_System_8" ref="A90:B99" totalsRowShown="0" headerRowDxfId="145" tableBorderDxfId="144">
  <tableColumns count="2">
    <tableColumn id="1" xr3:uid="{167DDA4C-B8B4-4701-A5A7-267C37040E41}" name="Requested Information" dataDxfId="143"/>
    <tableColumn id="2" xr3:uid="{435CBD17-CBAB-4410-97E8-9B984DC35113}" name="Response" dataDxfId="14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77EBC8BA-4E93-4D82-938B-A21B5BB30AB9}" name="PI_1S_CBP_1.C.157" displayName="PI_1S_CBP_1.C.157" ref="A37:B49" totalsRowShown="0" headerRowDxfId="350" dataDxfId="348" headerRowBorderDxfId="349" tableBorderDxfId="347">
  <autoFilter ref="A37:B49" xr:uid="{8BF40EEA-97B9-4EA2-8BED-69D2C5B1BA8A}">
    <filterColumn colId="0" hiddenButton="1"/>
    <filterColumn colId="1" hiddenButton="1"/>
  </autoFilter>
  <tableColumns count="2">
    <tableColumn id="1" xr3:uid="{88BED91C-514D-4C12-843A-7ED7F36BE249}" name="Requested Information" dataDxfId="346"/>
    <tableColumn id="2" xr3:uid="{24D3E1EC-8867-4BBD-9C89-D42558C57DF8}" name="Response" dataDxfId="345"/>
  </tableColumns>
  <tableStyleInfo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57943889-A589-4E7B-9627-703B4607CDE1}" name="Table11-CBP__Table11_CBP_Filter_System_6" displayName="Table11_CBP__Table11_CBP_Filter_System_6" ref="A66:B75" totalsRowShown="0" headerRowDxfId="141" tableBorderDxfId="140">
  <autoFilter ref="A66:B75" xr:uid="{57943889-A589-4E7B-9627-703B4607CDE1}">
    <filterColumn colId="0" hiddenButton="1"/>
    <filterColumn colId="1" hiddenButton="1"/>
  </autoFilter>
  <tableColumns count="2">
    <tableColumn id="1" xr3:uid="{6AC97370-DF12-4BD1-89FF-4E5700B2E427}" name="Requested Information" dataDxfId="139"/>
    <tableColumn id="2" xr3:uid="{61B1E99E-AC3F-4759-9204-41C9E8EE6785}" name="Response" dataDxfId="138"/>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689752C-9327-46F6-B538-9CDE253F7504}" name="Table6" displayName="Table6" ref="A78:B87" totalsRowShown="0" headerRowDxfId="137" tableBorderDxfId="136">
  <tableColumns count="2">
    <tableColumn id="1" xr3:uid="{074D050C-AC03-4C26-84F0-B2CFF6E52B15}" name="Requested Information" dataDxfId="135"/>
    <tableColumn id="2" xr3:uid="{FA84EC68-2A2A-406B-BDB6-58336CB60174}" name="Response" dataDxfId="134"/>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4B8EA007-D950-4EDD-9170-1133E9347969}" name="Table29_CBP_Engine_1_" displayName="Table29_CBP_Engine_1_" ref="A6:B16" totalsRowShown="0" headerRowDxfId="133" tableBorderDxfId="132">
  <autoFilter ref="A6:B16" xr:uid="{4B8EA007-D950-4EDD-9170-1133E9347969}">
    <filterColumn colId="0" hiddenButton="1"/>
    <filterColumn colId="1" hiddenButton="1"/>
  </autoFilter>
  <tableColumns count="2">
    <tableColumn id="1" xr3:uid="{B766F920-47DF-4F64-AFF5-BCA2823DFC15}" name="Requested Information" dataDxfId="131"/>
    <tableColumn id="2" xr3:uid="{45AFAD05-0F88-4227-B356-4F12B0E6BF68}" name="Response" dataDxfId="130"/>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62976376-859D-44B2-B97E-88CBD582BB60}" name="Table29_CBP_Engine_2" displayName="Table29_CBP_Engine_2" ref="A19:B29" totalsRowShown="0" headerRowDxfId="129" tableBorderDxfId="128">
  <tableColumns count="2">
    <tableColumn id="1" xr3:uid="{3FD67947-A322-49D6-AB0C-F1CDA8BBEAA2}" name="Requested Information" dataDxfId="127"/>
    <tableColumn id="2" xr3:uid="{B75EFB81-7F71-4593-B579-B5184BEC39D2}" name="Response" dataDxfId="126"/>
  </tableColumns>
  <tableStyleInf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C1E4F0F-5360-45B5-8E4D-24DF0D0CC556}" name="Table29_CBP_Engine_3" displayName="Table29_CBP_Engine_3" ref="A32:B42" totalsRowShown="0" headerRowDxfId="125" tableBorderDxfId="124">
  <tableColumns count="2">
    <tableColumn id="1" xr3:uid="{70444ADA-606B-4A57-B7A3-84CE70D52A5D}" name="Requested Information" dataDxfId="123"/>
    <tableColumn id="2" xr3:uid="{F975471B-3C87-4791-823F-7A94202BF27B}" name="Response" dataDxfId="122"/>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88A8463-5595-41AB-BC59-007B55646953}" name="Table29_CBP_Horsepower" displayName="Table29_CBP_Horsepower" ref="A45:B46" totalsRowShown="0" headerRowDxfId="121" tableBorderDxfId="120">
  <tableColumns count="2">
    <tableColumn id="1" xr3:uid="{85190027-5200-4A34-8301-DF0EA48262BA}" name="Requested Information" dataDxfId="119">
      <calculatedColumnFormula>IF('6004Checklist'!C72=1,"What is the horsepower of the engine?","What is the combined horsepower of the engines?")</calculatedColumnFormula>
    </tableColumn>
    <tableColumn id="2" xr3:uid="{228AF723-11E6-4F18-AB26-E9B734873444}" name="Response" dataDxfId="118">
      <calculatedColumnFormula>IF(B11="","",SUM(B11,B24,B37))</calculatedColumnFormula>
    </tableColumn>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975B893-C00D-4CE6-BB92-7F9E884628DD}" name="Public_Notice__Information_A.1" displayName="Public_Notice__Information_A.1" ref="A12:B25" totalsRowShown="0" headerRowDxfId="117" headerRowBorderDxfId="116" tableBorderDxfId="115">
  <autoFilter ref="A12:B25" xr:uid="{0975B893-C00D-4CE6-BB92-7F9E884628DD}">
    <filterColumn colId="0" hiddenButton="1"/>
    <filterColumn colId="1" hiddenButton="1"/>
  </autoFilter>
  <tableColumns count="2">
    <tableColumn id="1" xr3:uid="{648693C9-BC7B-452A-B5DB-5D5D4EF29167}" name="Requested Information" dataDxfId="114"/>
    <tableColumn id="2" xr3:uid="{57F38965-20E2-4713-840B-77FCC69509DB}" name="Response" dataDxfId="113"/>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34D82715-F66E-4674-BD91-1C1DEA2FB97F}" name="Public_Notice_Information_A.2" displayName="Public_Notice_Information_A.2" ref="A27:B40" totalsRowShown="0" headerRowDxfId="112" headerRowBorderDxfId="111" tableBorderDxfId="110">
  <tableColumns count="2">
    <tableColumn id="1" xr3:uid="{B952AC65-9456-4F73-AA3D-186FAE127087}" name="Requested Information" dataDxfId="109"/>
    <tableColumn id="2" xr3:uid="{80396A4C-4E99-4380-8DA7-0B2258C659BC}" name="Response" dataDxfId="108"/>
  </tableColumns>
  <tableStyleInfo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2EAC9E92-DC2D-4EF2-8EEA-B7887A30A56D}" name="Public_Notice_Information_B" displayName="Public_Notice_Information_B" ref="A42:B49" totalsRowShown="0" headerRowDxfId="107" headerRowBorderDxfId="106" tableBorderDxfId="105">
  <tableColumns count="2">
    <tableColumn id="1" xr3:uid="{1A0CE6D4-F8E6-445E-B6B9-BEDD0D788924}" name="Requested Information" dataDxfId="104"/>
    <tableColumn id="2" xr3:uid="{07DE769F-65E0-4ADF-B1BD-AF5ACBBFF614}" name="Response" dataDxfId="103"/>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685A17AC-30C7-4019-B4E9-C398392531D0}" name="Public_Notice_Information_C" displayName="Public_Notice_Information_C" ref="A51:B57" totalsRowShown="0" headerRowDxfId="102" headerRowBorderDxfId="101" tableBorderDxfId="100">
  <tableColumns count="2">
    <tableColumn id="1" xr3:uid="{64AE36F7-0267-45E3-B26F-C5D9522A10EF}" name="Requested Information" dataDxfId="99"/>
    <tableColumn id="2" xr3:uid="{9C4138D7-23E8-487C-A95D-5AD0C3F49A12}" name="Response" dataDxfId="9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139C8543-91B1-45E0-8E43-EABF26987F76}" name="PI_1S_CBP_D.1_58" displayName="PI_1S_CBP_D.1_58" ref="A52:B65" totalsRowShown="0" headerRowDxfId="344" dataDxfId="342" headerRowBorderDxfId="343" tableBorderDxfId="341">
  <autoFilter ref="A52:B65" xr:uid="{8F719C7A-47D1-4971-AE09-A641D8F5518F}">
    <filterColumn colId="0" hiddenButton="1"/>
    <filterColumn colId="1" hiddenButton="1"/>
  </autoFilter>
  <tableColumns count="2">
    <tableColumn id="1" xr3:uid="{0B3C1F33-6F78-47CE-B2D3-D5D4F908743B}" name="Requested Information" dataDxfId="340"/>
    <tableColumn id="2" xr3:uid="{6410A3D4-361F-48B6-B42A-3889C348ACEE}" name="Response" dataDxfId="339"/>
  </tableColumns>
  <tableStyleInfo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821CF00D-099A-4D33-A1A6-5F4B3F98E1FA}" name="Small_Business_Classification" displayName="Small_Business_Classification" ref="A61:B66" totalsRowShown="0" headerRowDxfId="97" headerRowBorderDxfId="96" tableBorderDxfId="95">
  <tableColumns count="2">
    <tableColumn id="1" xr3:uid="{AD5F72E1-DF8E-47B5-A55C-9119DF3D7BC2}" name="Requested Information" dataDxfId="94"/>
    <tableColumn id="2" xr3:uid="{9265C0AE-4CAD-4599-BB8A-9AC4F8FE2D14}" name="Response" dataDxfId="93"/>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A999F4F9-D9FF-4231-91E9-23FEFBCE1334}" name="Public Notice__Plain_Language_Summary" displayName="Public_Notice__Plain_Language_Summary" ref="A71:B73" totalsRowShown="0" headerRowDxfId="92" headerRowBorderDxfId="91" tableBorderDxfId="90" headerRowCellStyle="Hyperlink">
  <autoFilter ref="A71:B73" xr:uid="{A999F4F9-D9FF-4231-91E9-23FEFBCE1334}">
    <filterColumn colId="0" hiddenButton="1"/>
    <filterColumn colId="1" hiddenButton="1"/>
  </autoFilter>
  <tableColumns count="2">
    <tableColumn id="1" xr3:uid="{AEDF1E69-98D0-425E-9D00-DFD8090BFAB6}" name="Requested Information" dataDxfId="89"/>
    <tableColumn id="2" xr3:uid="{844B78AC-3FFA-4850-884B-EF1CF46912AE}" name="Response" dataDxfId="88"/>
  </tableColumns>
  <tableStyleInfo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DC460833-FC5B-4EAC-BFB1-03566E60681D}" name="Copies_Notes_Table" displayName="Copies_Notes_Table" ref="A4:D8" totalsRowShown="0" headerRowDxfId="87" headerRowBorderDxfId="86" tableBorderDxfId="85">
  <tableColumns count="4">
    <tableColumn id="1" xr3:uid="{8C50FE40-2FED-4406-B976-3DD8DA3A0C15}" name="Who" dataDxfId="84"/>
    <tableColumn id="2" xr3:uid="{B812E116-A59E-40CB-AAAA-A780DEB3AA31}" name="Where" dataDxfId="83" dataCellStyle="Hyperlink"/>
    <tableColumn id="3" xr3:uid="{6B65FD52-A084-4123-84CD-A8C6E7BEA7AA}" name="When" dataDxfId="82" dataCellStyle="Hyperlink"/>
    <tableColumn id="4" xr3:uid="{C464BC7B-78CD-444E-8510-2441F4956DBE}" name="What" dataDxfId="8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4E09A2C9-1763-4C92-A28B-6AAE0761DED1}" name="PI_1S_CBP_1.E.159" displayName="PI_1S_CBP_1.E.159" ref="A68:B70" totalsRowShown="0" headerRowDxfId="338" dataDxfId="336" headerRowBorderDxfId="337" tableBorderDxfId="335">
  <autoFilter ref="A68:B70" xr:uid="{889CB403-E6DC-4FE7-A70F-CC45ACD5C82A}">
    <filterColumn colId="0" hiddenButton="1"/>
    <filterColumn colId="1" hiddenButton="1"/>
  </autoFilter>
  <tableColumns count="2">
    <tableColumn id="1" xr3:uid="{ED8ECCDD-22D2-4289-AA52-A34C5535B56A}" name="Requested Information" dataDxfId="334"/>
    <tableColumn id="2" xr3:uid="{16C534A9-4EFB-4BC2-8A16-8549C04E6B84}" name="Response" dataDxfId="33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FF0C6039-B16E-4820-B1A4-4E98D4B1888A}" name="PI_1S_CBP__PI_1S_CBP_2.A.160" displayName="PI_1S_CBP__PI_1S_CBP_2.A.160" ref="A81:B84" totalsRowShown="0" headerRowDxfId="332" dataDxfId="330" headerRowBorderDxfId="331" tableBorderDxfId="329" totalsRowBorderDxfId="328">
  <autoFilter ref="A81:B84" xr:uid="{815BC579-0762-4158-B285-C7BABD6D15FC}">
    <filterColumn colId="0" hiddenButton="1"/>
    <filterColumn colId="1" hiddenButton="1"/>
  </autoFilter>
  <tableColumns count="2">
    <tableColumn id="1" xr3:uid="{CC87972B-66D9-47E2-A26B-81D81FAA9EB5}" name="Registration Numbers" dataDxfId="327"/>
    <tableColumn id="2" xr3:uid="{30E9A23E-F781-4BD7-9D49-C5EE38A7B489}" name="Effective Date" dataDxfId="32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5AF61C26-5998-42E4-B73E-935B638B1582}" name="PI_1S_CBP__PI_1S_CBP_2.C.161" displayName="PI_1S_CBP__PI_1S_CBP_2.C.161" ref="A89:B92" totalsRowShown="0" headerRowDxfId="325" dataDxfId="323" headerRowBorderDxfId="324" tableBorderDxfId="322" totalsRowBorderDxfId="321">
  <autoFilter ref="A89:B92" xr:uid="{A5F7A452-6527-4820-9F6C-8152638C67FD}">
    <filterColumn colId="0" hiddenButton="1"/>
    <filterColumn colId="1" hiddenButton="1"/>
  </autoFilter>
  <tableColumns count="2">
    <tableColumn id="1" xr3:uid="{8FE0595C-7FE6-400A-A4D1-0A4E299BC463}" name="Requested Information" dataDxfId="320"/>
    <tableColumn id="2" xr3:uid="{3D10D435-299B-41E6-AD8A-B350F03FDA4A}" name="Response" dataDxfId="31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CA376B25-A6EA-40E9-A438-69FA69DD5501}" name="PI_1S_CBP_IV.A.162" displayName="PI_1S_CBP_IV.A.162" ref="A96:B102" totalsRowShown="0" headerRowDxfId="318" dataDxfId="316" headerRowBorderDxfId="317" tableBorderDxfId="315">
  <autoFilter ref="A96:B102" xr:uid="{598EC19C-A38D-49B2-B3D2-620B72B2AD51}">
    <filterColumn colId="0" hiddenButton="1"/>
    <filterColumn colId="1" hiddenButton="1"/>
  </autoFilter>
  <tableColumns count="2">
    <tableColumn id="1" xr3:uid="{ABDD1D07-B62E-4A44-BA6C-7FE1CC52845E}" name="Requested Information" dataDxfId="314"/>
    <tableColumn id="2" xr3:uid="{9502988E-6239-4FA4-866A-C5CC49600048}" name="Response" dataDxfId="313"/>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exreg.sos.state.tx.us/public/readtac$ext.TacPage?sl=R&amp;app=9&amp;p_dir=&amp;p_rloc=&amp;p_tloc=&amp;p_ploc=&amp;pg=1&amp;ti=30&amp;ch=116&amp;rl=119" TargetMode="External"/><Relationship Id="rId2" Type="http://schemas.openxmlformats.org/officeDocument/2006/relationships/hyperlink" Target="https://www.tceq.texas.gov/permitting/air/newsourcereview/mechanical/cbp_enhanced.html" TargetMode="External"/><Relationship Id="rId1" Type="http://schemas.openxmlformats.org/officeDocument/2006/relationships/hyperlink" Target="https://ftps.tceq.texas.gov/help/" TargetMode="External"/><Relationship Id="rId6" Type="http://schemas.openxmlformats.org/officeDocument/2006/relationships/printerSettings" Target="../printerSettings/printerSettings1.bin"/><Relationship Id="rId5" Type="http://schemas.openxmlformats.org/officeDocument/2006/relationships/hyperlink" Target="https://www3.tceq.texas.gov/steers/" TargetMode="External"/><Relationship Id="rId4" Type="http://schemas.openxmlformats.org/officeDocument/2006/relationships/hyperlink" Target="https://www.tceq.texas.gov/permitting/air/newsourcereview/mechanical/cbp.html"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tceq.texas.gov/permitting/air/local_programs.html" TargetMode="External"/><Relationship Id="rId1" Type="http://schemas.openxmlformats.org/officeDocument/2006/relationships/hyperlink" Target="https://www.tceq.texas.gov/agency/directory/region" TargetMode="External"/><Relationship Id="rId4" Type="http://schemas.openxmlformats.org/officeDocument/2006/relationships/table" Target="../tables/table5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5v0/5v4+/AH_Comments_Ready_For_Testing_PI-1S-CBP_UNLOCKED.xlsx" TargetMode="External"/><Relationship Id="rId3" Type="http://schemas.openxmlformats.org/officeDocument/2006/relationships/hyperlink" Target="../../5v0/5v4+/AH_Comments_Ready_For_Testing_PI-1S-CBP_UNLOCKED.xlsx" TargetMode="External"/><Relationship Id="rId7" Type="http://schemas.openxmlformats.org/officeDocument/2006/relationships/hyperlink" Target="../../5v0/5v4+/AH_Comments_Ready_For_Testing_PI-1S-CBP_UNLOCKED.xlsx" TargetMode="External"/><Relationship Id="rId2" Type="http://schemas.openxmlformats.org/officeDocument/2006/relationships/hyperlink" Target="../../5v0/5v4+/AH_Comments_Ready_For_Testing_PI-1S-CBP_UNLOCKED.xlsx" TargetMode="External"/><Relationship Id="rId1" Type="http://schemas.openxmlformats.org/officeDocument/2006/relationships/hyperlink" Target="../../5v0/5v4+/AH_Comments_Ready_For_Testing_PI-1S-CBP_UNLOCKED.xlsx" TargetMode="External"/><Relationship Id="rId6" Type="http://schemas.openxmlformats.org/officeDocument/2006/relationships/hyperlink" Target="../../5v0/5v4+/AH_Comments_Ready_For_Testing_PI-1S-CBP_UNLOCKED.xlsx" TargetMode="External"/><Relationship Id="rId5" Type="http://schemas.openxmlformats.org/officeDocument/2006/relationships/hyperlink" Target="../../5v0/5v4+/AH_Comments_Ready_For_Testing_PI-1S-CBP_UNLOCKED.xlsx" TargetMode="External"/><Relationship Id="rId10" Type="http://schemas.openxmlformats.org/officeDocument/2006/relationships/printerSettings" Target="../printerSettings/printerSettings13.bin"/><Relationship Id="rId4" Type="http://schemas.openxmlformats.org/officeDocument/2006/relationships/hyperlink" Target="../../5v0/5v4+/AH_Comments_Ready_For_Testing_PI-1S-CBP_UNLOCKED.xlsx" TargetMode="External"/><Relationship Id="rId9" Type="http://schemas.openxmlformats.org/officeDocument/2006/relationships/hyperlink" Target="../../5v0/5v4+/AH_Comments_Ready_For_Testing_PI-1S-CBP_UNLOCKED.xlsx"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13" Type="http://schemas.openxmlformats.org/officeDocument/2006/relationships/table" Target="../tables/table5.xml"/><Relationship Id="rId18" Type="http://schemas.openxmlformats.org/officeDocument/2006/relationships/table" Target="../tables/table10.xml"/><Relationship Id="rId26" Type="http://schemas.openxmlformats.org/officeDocument/2006/relationships/table" Target="../tables/table18.xml"/><Relationship Id="rId3" Type="http://schemas.openxmlformats.org/officeDocument/2006/relationships/hyperlink" Target="https://www.tceq.texas.gov/permitting/air/confidential.html" TargetMode="External"/><Relationship Id="rId21" Type="http://schemas.openxmlformats.org/officeDocument/2006/relationships/table" Target="../tables/table13.xml"/><Relationship Id="rId7" Type="http://schemas.openxmlformats.org/officeDocument/2006/relationships/hyperlink" Target="https://www.tceq.texas.gov/permitting/air/air_permits.html" TargetMode="External"/><Relationship Id="rId12" Type="http://schemas.openxmlformats.org/officeDocument/2006/relationships/table" Target="../tables/table4.xml"/><Relationship Id="rId17" Type="http://schemas.openxmlformats.org/officeDocument/2006/relationships/table" Target="../tables/table9.xml"/><Relationship Id="rId25" Type="http://schemas.openxmlformats.org/officeDocument/2006/relationships/table" Target="../tables/table17.xml"/><Relationship Id="rId2" Type="http://schemas.openxmlformats.org/officeDocument/2006/relationships/hyperlink" Target="https://www.sos.state.tx.us/" TargetMode="External"/><Relationship Id="rId16" Type="http://schemas.openxmlformats.org/officeDocument/2006/relationships/table" Target="../tables/table8.xml"/><Relationship Id="rId20" Type="http://schemas.openxmlformats.org/officeDocument/2006/relationships/table" Target="../tables/table12.xml"/><Relationship Id="rId1" Type="http://schemas.openxmlformats.org/officeDocument/2006/relationships/hyperlink" Target="https://wrm.capitol.texas.gov/" TargetMode="External"/><Relationship Id="rId6" Type="http://schemas.openxmlformats.org/officeDocument/2006/relationships/hyperlink" Target="https://www.tceq.texas.gov/agency/financial/fees/delin" TargetMode="External"/><Relationship Id="rId11" Type="http://schemas.openxmlformats.org/officeDocument/2006/relationships/table" Target="../tables/table3.xml"/><Relationship Id="rId24" Type="http://schemas.openxmlformats.org/officeDocument/2006/relationships/table" Target="../tables/table16.xml"/><Relationship Id="rId5" Type="http://schemas.openxmlformats.org/officeDocument/2006/relationships/hyperlink" Target="https://www.txdirectory.com/" TargetMode="External"/><Relationship Id="rId15" Type="http://schemas.openxmlformats.org/officeDocument/2006/relationships/table" Target="../tables/table7.xml"/><Relationship Id="rId23" Type="http://schemas.openxmlformats.org/officeDocument/2006/relationships/table" Target="../tables/table15.xml"/><Relationship Id="rId10" Type="http://schemas.openxmlformats.org/officeDocument/2006/relationships/table" Target="../tables/table2.xml"/><Relationship Id="rId19" Type="http://schemas.openxmlformats.org/officeDocument/2006/relationships/table" Target="../tables/table11.xml"/><Relationship Id="rId4" Type="http://schemas.openxmlformats.org/officeDocument/2006/relationships/hyperlink" Target="https://www.tceq.texas.gov/permitting/central_registry/guidance.html" TargetMode="External"/><Relationship Id="rId9" Type="http://schemas.openxmlformats.org/officeDocument/2006/relationships/table" Target="../tables/table1.xml"/><Relationship Id="rId14" Type="http://schemas.openxmlformats.org/officeDocument/2006/relationships/table" Target="../tables/table6.xml"/><Relationship Id="rId22" Type="http://schemas.openxmlformats.org/officeDocument/2006/relationships/table" Target="../tables/table14.xml"/><Relationship Id="rId27"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8" Type="http://schemas.openxmlformats.org/officeDocument/2006/relationships/table" Target="../tables/table26.xml"/><Relationship Id="rId3" Type="http://schemas.openxmlformats.org/officeDocument/2006/relationships/table" Target="../tables/table21.xml"/><Relationship Id="rId7" Type="http://schemas.openxmlformats.org/officeDocument/2006/relationships/table" Target="../tables/table25.xml"/><Relationship Id="rId2" Type="http://schemas.openxmlformats.org/officeDocument/2006/relationships/table" Target="../tables/table20.xml"/><Relationship Id="rId1" Type="http://schemas.openxmlformats.org/officeDocument/2006/relationships/printerSettings" Target="../printerSettings/printerSettings3.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 Id="rId9" Type="http://schemas.openxmlformats.org/officeDocument/2006/relationships/table" Target="../tables/table2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4.bin"/><Relationship Id="rId4" Type="http://schemas.openxmlformats.org/officeDocument/2006/relationships/table" Target="../tables/table30.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2.xml"/><Relationship Id="rId2" Type="http://schemas.openxmlformats.org/officeDocument/2006/relationships/table" Target="../tables/table31.xml"/><Relationship Id="rId1" Type="http://schemas.openxmlformats.org/officeDocument/2006/relationships/printerSettings" Target="../printerSettings/printerSettings5.bin"/><Relationship Id="rId4" Type="http://schemas.openxmlformats.org/officeDocument/2006/relationships/table" Target="../tables/table33.xml"/></Relationships>
</file>

<file path=xl/worksheets/_rels/sheet6.xml.rels><?xml version="1.0" encoding="UTF-8" standalone="yes"?>
<Relationships xmlns="http://schemas.openxmlformats.org/package/2006/relationships"><Relationship Id="rId8" Type="http://schemas.openxmlformats.org/officeDocument/2006/relationships/table" Target="../tables/table40.xml"/><Relationship Id="rId3" Type="http://schemas.openxmlformats.org/officeDocument/2006/relationships/table" Target="../tables/table35.xml"/><Relationship Id="rId7" Type="http://schemas.openxmlformats.org/officeDocument/2006/relationships/table" Target="../tables/table39.xml"/><Relationship Id="rId2" Type="http://schemas.openxmlformats.org/officeDocument/2006/relationships/table" Target="../tables/table34.xml"/><Relationship Id="rId1" Type="http://schemas.openxmlformats.org/officeDocument/2006/relationships/printerSettings" Target="../printerSettings/printerSettings6.bin"/><Relationship Id="rId6" Type="http://schemas.openxmlformats.org/officeDocument/2006/relationships/table" Target="../tables/table38.xml"/><Relationship Id="rId5" Type="http://schemas.openxmlformats.org/officeDocument/2006/relationships/table" Target="../tables/table37.xml"/><Relationship Id="rId4" Type="http://schemas.openxmlformats.org/officeDocument/2006/relationships/table" Target="../tables/table36.xml"/><Relationship Id="rId9" Type="http://schemas.openxmlformats.org/officeDocument/2006/relationships/table" Target="../tables/table4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3.xml"/><Relationship Id="rId2" Type="http://schemas.openxmlformats.org/officeDocument/2006/relationships/table" Target="../tables/table42.xml"/><Relationship Id="rId1" Type="http://schemas.openxmlformats.org/officeDocument/2006/relationships/printerSettings" Target="../printerSettings/printerSettings7.bin"/><Relationship Id="rId5" Type="http://schemas.openxmlformats.org/officeDocument/2006/relationships/table" Target="../tables/table45.xml"/><Relationship Id="rId4" Type="http://schemas.openxmlformats.org/officeDocument/2006/relationships/table" Target="../tables/table44.xml"/></Relationships>
</file>

<file path=xl/worksheets/_rels/sheet8.xml.rels><?xml version="1.0" encoding="UTF-8" standalone="yes"?>
<Relationships xmlns="http://schemas.openxmlformats.org/package/2006/relationships"><Relationship Id="rId8" Type="http://schemas.openxmlformats.org/officeDocument/2006/relationships/table" Target="../tables/table49.xml"/><Relationship Id="rId3" Type="http://schemas.openxmlformats.org/officeDocument/2006/relationships/hyperlink" Target="https://www.tceq.texas.gov/permitting/air/guidance/newsourcereview/nsrapp-tools.html" TargetMode="External"/><Relationship Id="rId7" Type="http://schemas.openxmlformats.org/officeDocument/2006/relationships/table" Target="../tables/table48.xml"/><Relationship Id="rId2" Type="http://schemas.openxmlformats.org/officeDocument/2006/relationships/hyperlink" Target="https://statutes.capitol.texas.gov/Docs/HS/htm/HS.382.htm" TargetMode="External"/><Relationship Id="rId1" Type="http://schemas.openxmlformats.org/officeDocument/2006/relationships/hyperlink" Target="https://www.tceq.texas.gov/permitting/air/bilingual/how1_2_pn.html" TargetMode="External"/><Relationship Id="rId6" Type="http://schemas.openxmlformats.org/officeDocument/2006/relationships/table" Target="../tables/table47.xml"/><Relationship Id="rId5" Type="http://schemas.openxmlformats.org/officeDocument/2006/relationships/table" Target="../tables/table46.xml"/><Relationship Id="rId10" Type="http://schemas.openxmlformats.org/officeDocument/2006/relationships/table" Target="../tables/table51.xml"/><Relationship Id="rId4" Type="http://schemas.openxmlformats.org/officeDocument/2006/relationships/printerSettings" Target="../printerSettings/printerSettings8.bin"/><Relationship Id="rId9" Type="http://schemas.openxmlformats.org/officeDocument/2006/relationships/table" Target="../tables/table50.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tceq.texas.gov/publications/search_forms.html" TargetMode="External"/><Relationship Id="rId2" Type="http://schemas.openxmlformats.org/officeDocument/2006/relationships/hyperlink" Target="https://www3.tceq.texas.gov/epay/" TargetMode="External"/><Relationship Id="rId1" Type="http://schemas.openxmlformats.org/officeDocument/2006/relationships/hyperlink" Target="https://www3.tceq.texas.gov/epay/" TargetMode="External"/><Relationship Id="rId5" Type="http://schemas.openxmlformats.org/officeDocument/2006/relationships/printerSettings" Target="../printerSettings/printerSettings9.bin"/><Relationship Id="rId4" Type="http://schemas.openxmlformats.org/officeDocument/2006/relationships/hyperlink" Target="https://www.tceq.texas.gov/assets/public/permitting/air/Forms/NewSourceReview/207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DCDCFF"/>
    <pageSetUpPr fitToPage="1"/>
  </sheetPr>
  <dimension ref="A1:B55"/>
  <sheetViews>
    <sheetView showGridLines="0" tabSelected="1" zoomScaleNormal="100" workbookViewId="0">
      <selection sqref="A1:B1"/>
    </sheetView>
  </sheetViews>
  <sheetFormatPr defaultColWidth="0" defaultRowHeight="12.75" zeroHeight="1" x14ac:dyDescent="0.2"/>
  <cols>
    <col min="1" max="1" width="40.7109375" customWidth="1"/>
    <col min="2" max="2" width="80.28515625" customWidth="1"/>
    <col min="3" max="16384" width="9.140625" hidden="1"/>
  </cols>
  <sheetData>
    <row r="1" spans="1:2" s="146" customFormat="1" ht="18" x14ac:dyDescent="0.2">
      <c r="A1" s="581" t="s">
        <v>0</v>
      </c>
      <c r="B1" s="582"/>
    </row>
    <row r="2" spans="1:2" ht="15.95" customHeight="1" x14ac:dyDescent="0.2">
      <c r="A2" s="591" t="s">
        <v>1</v>
      </c>
      <c r="B2" s="592"/>
    </row>
    <row r="3" spans="1:2" ht="15.95" customHeight="1" x14ac:dyDescent="0.2">
      <c r="A3" s="591" t="s">
        <v>2</v>
      </c>
      <c r="B3" s="592"/>
    </row>
    <row r="4" spans="1:2" ht="15.95" customHeight="1" x14ac:dyDescent="0.2">
      <c r="A4" s="591" t="s">
        <v>3</v>
      </c>
      <c r="B4" s="592"/>
    </row>
    <row r="5" spans="1:2" ht="15.95" customHeight="1" thickBot="1" x14ac:dyDescent="0.25">
      <c r="A5" s="597" t="s">
        <v>4</v>
      </c>
      <c r="B5" s="598"/>
    </row>
    <row r="6" spans="1:2" s="318" customFormat="1" ht="333.75" customHeight="1" x14ac:dyDescent="0.2">
      <c r="A6" s="583" t="s">
        <v>1277</v>
      </c>
      <c r="B6" s="584"/>
    </row>
    <row r="7" spans="1:2" ht="66" customHeight="1" x14ac:dyDescent="0.2">
      <c r="A7" s="593" t="s">
        <v>5</v>
      </c>
      <c r="B7" s="594"/>
    </row>
    <row r="8" spans="1:2" s="353" customFormat="1" ht="16.5" customHeight="1" thickBot="1" x14ac:dyDescent="0.25">
      <c r="A8" s="577" t="s">
        <v>6</v>
      </c>
      <c r="B8" s="578"/>
    </row>
    <row r="9" spans="1:2" ht="15" customHeight="1" thickBot="1" x14ac:dyDescent="0.25">
      <c r="A9" s="62"/>
      <c r="B9" s="60"/>
    </row>
    <row r="10" spans="1:2" s="321" customFormat="1" ht="16.5" customHeight="1" x14ac:dyDescent="0.2">
      <c r="A10" s="585" t="s">
        <v>1268</v>
      </c>
      <c r="B10" s="586"/>
    </row>
    <row r="11" spans="1:2" ht="15" customHeight="1" x14ac:dyDescent="0.2">
      <c r="A11" s="587" t="s">
        <v>7</v>
      </c>
      <c r="B11" s="588"/>
    </row>
    <row r="12" spans="1:2" ht="15" customHeight="1" thickBot="1" x14ac:dyDescent="0.25">
      <c r="A12" s="609" t="s">
        <v>8</v>
      </c>
      <c r="B12" s="610"/>
    </row>
    <row r="13" spans="1:2" ht="15" customHeight="1" thickBot="1" x14ac:dyDescent="0.25">
      <c r="A13" s="219"/>
      <c r="B13" s="220"/>
    </row>
    <row r="14" spans="1:2" s="321" customFormat="1" ht="16.5" customHeight="1" thickBot="1" x14ac:dyDescent="0.25">
      <c r="A14" s="611" t="s">
        <v>1269</v>
      </c>
      <c r="B14" s="612"/>
    </row>
    <row r="15" spans="1:2" ht="15" customHeight="1" x14ac:dyDescent="0.2">
      <c r="A15" s="589" t="s">
        <v>9</v>
      </c>
      <c r="B15" s="590"/>
    </row>
    <row r="16" spans="1:2" ht="15" customHeight="1" x14ac:dyDescent="0.2">
      <c r="A16" s="613" t="s">
        <v>10</v>
      </c>
      <c r="B16" s="614"/>
    </row>
    <row r="17" spans="1:2" ht="15" customHeight="1" x14ac:dyDescent="0.2">
      <c r="A17" s="615" t="s">
        <v>11</v>
      </c>
      <c r="B17" s="616"/>
    </row>
    <row r="18" spans="1:2" ht="15" customHeight="1" thickBot="1" x14ac:dyDescent="0.25">
      <c r="A18" s="595" t="s">
        <v>12</v>
      </c>
      <c r="B18" s="596"/>
    </row>
    <row r="19" spans="1:2" ht="15" customHeight="1" thickBot="1" x14ac:dyDescent="0.25">
      <c r="A19" s="221"/>
      <c r="B19" s="222"/>
    </row>
    <row r="20" spans="1:2" ht="15" customHeight="1" thickBot="1" x14ac:dyDescent="0.25">
      <c r="A20" s="579" t="s">
        <v>1263</v>
      </c>
      <c r="B20" s="580"/>
    </row>
    <row r="21" spans="1:2" ht="172.5" customHeight="1" x14ac:dyDescent="0.2">
      <c r="A21" s="625" t="s">
        <v>1270</v>
      </c>
      <c r="B21" s="626"/>
    </row>
    <row r="22" spans="1:2" s="23" customFormat="1" ht="45" customHeight="1" x14ac:dyDescent="0.2">
      <c r="A22" s="625" t="s">
        <v>13</v>
      </c>
      <c r="B22" s="626"/>
    </row>
    <row r="23" spans="1:2" s="23" customFormat="1" ht="15" thickBot="1" x14ac:dyDescent="0.25">
      <c r="A23" s="621" t="s">
        <v>14</v>
      </c>
      <c r="B23" s="622"/>
    </row>
    <row r="24" spans="1:2" s="23" customFormat="1" ht="15" customHeight="1" thickBot="1" x14ac:dyDescent="0.25">
      <c r="A24" s="202"/>
      <c r="B24" s="203"/>
    </row>
    <row r="25" spans="1:2" s="23" customFormat="1" ht="15" customHeight="1" thickBot="1" x14ac:dyDescent="0.25">
      <c r="A25" s="579" t="s">
        <v>1264</v>
      </c>
      <c r="B25" s="580"/>
    </row>
    <row r="26" spans="1:2" ht="306" customHeight="1" x14ac:dyDescent="0.2">
      <c r="A26" s="623" t="s">
        <v>1281</v>
      </c>
      <c r="B26" s="624"/>
    </row>
    <row r="27" spans="1:2" ht="15" thickBot="1" x14ac:dyDescent="0.25">
      <c r="A27" s="619" t="s">
        <v>15</v>
      </c>
      <c r="B27" s="620"/>
    </row>
    <row r="28" spans="1:2" ht="15" thickBot="1" x14ac:dyDescent="0.25">
      <c r="A28" s="200"/>
      <c r="B28" s="201"/>
    </row>
    <row r="29" spans="1:2" ht="16.5" thickBot="1" x14ac:dyDescent="0.25">
      <c r="A29" s="579" t="s">
        <v>1265</v>
      </c>
      <c r="B29" s="580"/>
    </row>
    <row r="30" spans="1:2" ht="72" customHeight="1" thickBot="1" x14ac:dyDescent="0.25">
      <c r="A30" s="617" t="s">
        <v>1267</v>
      </c>
      <c r="B30" s="618"/>
    </row>
    <row r="31" spans="1:2" ht="15" customHeight="1" thickBot="1" x14ac:dyDescent="0.25">
      <c r="A31" s="210"/>
      <c r="B31" s="211"/>
    </row>
    <row r="32" spans="1:2" ht="15" customHeight="1" thickBot="1" x14ac:dyDescent="0.25">
      <c r="A32" s="579" t="s">
        <v>1266</v>
      </c>
      <c r="B32" s="580"/>
    </row>
    <row r="33" spans="1:2" ht="147" customHeight="1" thickBot="1" x14ac:dyDescent="0.25">
      <c r="A33" s="607" t="s">
        <v>1282</v>
      </c>
      <c r="B33" s="608"/>
    </row>
    <row r="34" spans="1:2" ht="15" customHeight="1" thickBot="1" x14ac:dyDescent="0.25">
      <c r="A34" s="208"/>
      <c r="B34" s="209"/>
    </row>
    <row r="35" spans="1:2" s="1" customFormat="1" ht="15" customHeight="1" thickBot="1" x14ac:dyDescent="0.25">
      <c r="A35" s="579" t="s">
        <v>16</v>
      </c>
      <c r="B35" s="580"/>
    </row>
    <row r="36" spans="1:2" ht="14.25" x14ac:dyDescent="0.2">
      <c r="A36" s="601" t="s">
        <v>17</v>
      </c>
      <c r="B36" s="602"/>
    </row>
    <row r="37" spans="1:2" ht="14.25" x14ac:dyDescent="0.2">
      <c r="A37" s="601" t="s">
        <v>18</v>
      </c>
      <c r="B37" s="602"/>
    </row>
    <row r="38" spans="1:2" ht="14.25" x14ac:dyDescent="0.2">
      <c r="A38" s="601" t="s">
        <v>19</v>
      </c>
      <c r="B38" s="602"/>
    </row>
    <row r="39" spans="1:2" ht="14.25" x14ac:dyDescent="0.2">
      <c r="A39" s="601" t="s">
        <v>20</v>
      </c>
      <c r="B39" s="602"/>
    </row>
    <row r="40" spans="1:2" ht="14.25" x14ac:dyDescent="0.2">
      <c r="A40" s="601" t="s">
        <v>21</v>
      </c>
      <c r="B40" s="602"/>
    </row>
    <row r="41" spans="1:2" ht="15" thickBot="1" x14ac:dyDescent="0.25">
      <c r="A41" s="605" t="s">
        <v>22</v>
      </c>
      <c r="B41" s="606"/>
    </row>
    <row r="42" spans="1:2" ht="15" thickBot="1" x14ac:dyDescent="0.25">
      <c r="A42" s="223"/>
      <c r="B42" s="224"/>
    </row>
    <row r="43" spans="1:2" ht="16.5" customHeight="1" x14ac:dyDescent="0.2">
      <c r="A43" s="603" t="s">
        <v>23</v>
      </c>
      <c r="B43" s="604"/>
    </row>
    <row r="44" spans="1:2" ht="15" customHeight="1" x14ac:dyDescent="0.2">
      <c r="A44" s="557" t="s">
        <v>1</v>
      </c>
      <c r="B44" s="558" t="s">
        <v>24</v>
      </c>
    </row>
    <row r="45" spans="1:2" ht="15" customHeight="1" x14ac:dyDescent="0.2">
      <c r="A45" s="559" t="s">
        <v>25</v>
      </c>
      <c r="B45" s="560" t="s">
        <v>26</v>
      </c>
    </row>
    <row r="46" spans="1:2" ht="15" customHeight="1" x14ac:dyDescent="0.2">
      <c r="A46" s="559" t="s">
        <v>27</v>
      </c>
      <c r="B46" s="560" t="s">
        <v>28</v>
      </c>
    </row>
    <row r="47" spans="1:2" ht="15" customHeight="1" x14ac:dyDescent="0.2">
      <c r="A47" s="559" t="s">
        <v>29</v>
      </c>
      <c r="B47" s="560" t="s">
        <v>30</v>
      </c>
    </row>
    <row r="48" spans="1:2" ht="15" customHeight="1" x14ac:dyDescent="0.2">
      <c r="A48" s="559" t="s">
        <v>31</v>
      </c>
      <c r="B48" s="561" t="s">
        <v>32</v>
      </c>
    </row>
    <row r="49" spans="1:2" ht="15" customHeight="1" x14ac:dyDescent="0.2">
      <c r="A49" s="559" t="s">
        <v>33</v>
      </c>
      <c r="B49" s="561" t="s">
        <v>34</v>
      </c>
    </row>
    <row r="50" spans="1:2" ht="15" customHeight="1" x14ac:dyDescent="0.2">
      <c r="A50" s="559" t="s">
        <v>35</v>
      </c>
      <c r="B50" s="560" t="s">
        <v>36</v>
      </c>
    </row>
    <row r="51" spans="1:2" ht="14.25" x14ac:dyDescent="0.2">
      <c r="A51" s="559" t="s">
        <v>37</v>
      </c>
      <c r="B51" s="560" t="s">
        <v>38</v>
      </c>
    </row>
    <row r="52" spans="1:2" ht="15" customHeight="1" x14ac:dyDescent="0.2">
      <c r="A52" s="559" t="s">
        <v>39</v>
      </c>
      <c r="B52" s="560" t="s">
        <v>40</v>
      </c>
    </row>
    <row r="53" spans="1:2" ht="15" customHeight="1" x14ac:dyDescent="0.2">
      <c r="A53" s="559" t="s">
        <v>41</v>
      </c>
      <c r="B53" s="560" t="s">
        <v>42</v>
      </c>
    </row>
    <row r="54" spans="1:2" ht="15" thickBot="1" x14ac:dyDescent="0.25">
      <c r="A54" s="562" t="s">
        <v>43</v>
      </c>
      <c r="B54" s="563" t="s">
        <v>44</v>
      </c>
    </row>
    <row r="55" spans="1:2" ht="14.25" x14ac:dyDescent="0.2">
      <c r="A55" s="599" t="s">
        <v>45</v>
      </c>
      <c r="B55" s="600"/>
    </row>
  </sheetData>
  <sheetProtection algorithmName="SHA-512" hashValue="PRceYMMzpYSCPPQRF63l4qHdkRZtmKVMmnIDJePXht/eeDM1wcNErzmOXLZyY/mxk1RyE9XvUyDklBLrh45SFg==" saltValue="jdhwrUrky6jyTA5CDaqUyA==" spinCount="100000" sheet="1" objects="1" scenarios="1" formatColumns="0" formatRows="0" autoFilter="0"/>
  <mergeCells count="36">
    <mergeCell ref="A33:B33"/>
    <mergeCell ref="A35:B35"/>
    <mergeCell ref="A36:B36"/>
    <mergeCell ref="A12:B12"/>
    <mergeCell ref="A14:B14"/>
    <mergeCell ref="A16:B16"/>
    <mergeCell ref="A17:B17"/>
    <mergeCell ref="A32:B32"/>
    <mergeCell ref="A29:B29"/>
    <mergeCell ref="A30:B30"/>
    <mergeCell ref="A27:B27"/>
    <mergeCell ref="A23:B23"/>
    <mergeCell ref="A26:B26"/>
    <mergeCell ref="A22:B22"/>
    <mergeCell ref="A21:B21"/>
    <mergeCell ref="A25:B25"/>
    <mergeCell ref="A55:B55"/>
    <mergeCell ref="A37:B37"/>
    <mergeCell ref="A38:B38"/>
    <mergeCell ref="A39:B39"/>
    <mergeCell ref="A40:B40"/>
    <mergeCell ref="A43:B43"/>
    <mergeCell ref="A41:B41"/>
    <mergeCell ref="A8:B8"/>
    <mergeCell ref="A20:B20"/>
    <mergeCell ref="A1:B1"/>
    <mergeCell ref="A6:B6"/>
    <mergeCell ref="A10:B10"/>
    <mergeCell ref="A11:B11"/>
    <mergeCell ref="A15:B15"/>
    <mergeCell ref="A2:B2"/>
    <mergeCell ref="A3:B3"/>
    <mergeCell ref="A4:B4"/>
    <mergeCell ref="A7:B7"/>
    <mergeCell ref="A18:B18"/>
    <mergeCell ref="A5:B5"/>
  </mergeCells>
  <dataValidations count="15">
    <dataValidation allowBlank="1" showErrorMessage="1" promptTitle="Hyperlink" prompt="https://www3.tceq.texas.gov/steers/" sqref="A36:B36" xr:uid="{4F385B79-0C07-437F-9499-C81A7E1D6B59}"/>
    <dataValidation allowBlank="1" showErrorMessage="1" promptTitle="Hyperlink" prompt="https://texreg.sos.state.tx.us/public/readtac$ext.TacPage?sl=R&amp;app=9&amp;p_dir=&amp;p_rloc=&amp;p_tloc=&amp;p_ploc=&amp;pg=1&amp;ti=30&amp;ch=116&amp;rl=119" sqref="A37:B37" xr:uid="{9599AB49-7B16-41DB-85A9-A7621D5CDF43}"/>
    <dataValidation allowBlank="1" showErrorMessage="1" promptTitle="Hyperlink" prompt="https://www.tceq.texas.gov/permitting/air/newsourcereview/mechanical/cbp.html" sqref="A38:B38" xr:uid="{7220618A-0A84-46F6-8298-AD768458EF15}"/>
    <dataValidation allowBlank="1" showErrorMessage="1" promptTitle="Link to Tab" prompt="link to  tab '6004Requirements'" sqref="A39:B39" xr:uid="{D3EE7698-ACAF-48FE-9349-D240E01A5B7B}"/>
    <dataValidation allowBlank="1" showErrorMessage="1" promptTitle="Hyperlink" prompt="https://www.tceq.texas.gov/permitting/air/newsourcereview/mechanical/cbp_enhanced.html" sqref="A40:B40" xr:uid="{480C8757-29DA-43B9-997F-63024AB16A61}"/>
    <dataValidation allowBlank="1" showErrorMessage="1" promptTitle="Link to Tab" prompt="Link to tab '6008Requirements'" sqref="A41:B41 A54" xr:uid="{7D25C48B-97C8-4F07-A4C1-5492E39FD336}"/>
    <dataValidation allowBlank="1" showErrorMessage="1" promptTitle="Link to tab" prompt="Link to tab 'PI-1S-CBP'" sqref="A44" xr:uid="{EAB6ABE5-1E8C-43DA-9E05-FA220D8F6786}"/>
    <dataValidation allowBlank="1" showErrorMessage="1" promptTitle="Link to Tab" prompt="Link to tab '6004Checklist'" sqref="A45 A46" xr:uid="{59FC56A3-810C-428C-9FCF-B561D4B0122B}"/>
    <dataValidation allowBlank="1" showErrorMessage="1" promptTitle="Link to Tab" prompt="Link to tab 'Table20-CBP'" sqref="A47" xr:uid="{FD086EF2-3584-4AB7-86B0-DD4EA638D9D0}"/>
    <dataValidation allowBlank="1" showErrorMessage="1" promptTitle="Link to Tab" prompt="Link to tab 'Table11-CBP'" sqref="A48" xr:uid="{2E5C9731-48E4-4E35-AD2E-7262CF16F0E5}"/>
    <dataValidation allowBlank="1" showErrorMessage="1" promptTitle="Link to Tab" prompt="Link to tab 'Table29-CBP'" sqref="A49" xr:uid="{9CDC4617-BB79-481E-AC1D-8D6F7412FE01}"/>
    <dataValidation allowBlank="1" showErrorMessage="1" promptTitle="Link to Tab" prompt="Link to tab 'Public Notice'" sqref="A50" xr:uid="{D15F914A-D9E2-45CB-9A8D-0DE78B0B504E}"/>
    <dataValidation allowBlank="1" showErrorMessage="1" promptTitle="Link to Tab" prompt="Link to tab 'Fee'" sqref="A51" xr:uid="{D2C210C0-15C2-43DC-B5B2-7FFAFAE0CA53}"/>
    <dataValidation allowBlank="1" showErrorMessage="1" promptTitle="Link to Tab" prompt="Link to tab 'Copies'" sqref="A52" xr:uid="{DF4F0852-3892-4613-896B-EA2230880DB8}"/>
    <dataValidation allowBlank="1" showErrorMessage="1" promptTitle="Link to Tab" prompt="Link to tab '6004Requirements'" sqref="A53" xr:uid="{5A6B43C2-CD85-468D-BC33-F005FE13453D}"/>
  </dataValidations>
  <hyperlinks>
    <hyperlink ref="A27" r:id="rId1" xr:uid="{00000000-0004-0000-0000-000000000000}"/>
    <hyperlink ref="A40:B40" r:id="rId2" display="Concrete Batch Plant with Enhanced Controls Standard Permit Guidance" xr:uid="{00000000-0004-0000-0000-000002000000}"/>
    <hyperlink ref="A41:B41" location="'6008Requirements'!A1" display="Concrete Batch Plant with Enhanced Controls Standard Permit" xr:uid="{00000000-0004-0000-0000-000003000000}"/>
    <hyperlink ref="A44" location="'PI-1S-CBP'!A1" display="PI-1S-CBP" xr:uid="{00000000-0004-0000-0000-000004000000}"/>
    <hyperlink ref="A45" location="'6004Checklist'!A1" display="6004Checklist" xr:uid="{00000000-0004-0000-0000-000005000000}"/>
    <hyperlink ref="A46" location="'6008Checklist'!A1" display="6008Checklist" xr:uid="{00000000-0004-0000-0000-000006000000}"/>
    <hyperlink ref="A47" location="'Table20-CBP'!A1" display="Table20-CBP" xr:uid="{00000000-0004-0000-0000-000007000000}"/>
    <hyperlink ref="A48" location="'Table11-CBP'!A1" display="Table11-CBP" xr:uid="{00000000-0004-0000-0000-000008000000}"/>
    <hyperlink ref="A49" location="'Table29-CBP'!A1" display="Table29-CBP" xr:uid="{00000000-0004-0000-0000-000009000000}"/>
    <hyperlink ref="A50" location="'Public Notice'!A1" display="Public Notice" xr:uid="{00000000-0004-0000-0000-00000A000000}"/>
    <hyperlink ref="A51" location="Fees!A1" display="Fees" xr:uid="{00000000-0004-0000-0000-00000B000000}"/>
    <hyperlink ref="A52" location="Copies!A1" display="Copies" xr:uid="{00000000-0004-0000-0000-00000C000000}"/>
    <hyperlink ref="A53" location="'6004Requirements'!A1" display="6004Requirements" xr:uid="{00000000-0004-0000-0000-00000D000000}"/>
    <hyperlink ref="A54" location="'6008Requirements'!A1" display="6008Requirements" xr:uid="{00000000-0004-0000-0000-00000E000000}"/>
    <hyperlink ref="A39:B39" location="'6004Requirements'!A1" display="Concrete Batch Plant Standard Permit" xr:uid="{00000000-0004-0000-0000-00000F000000}"/>
    <hyperlink ref="A37:B37" r:id="rId3" display="De Minimis Facilities, 30 TAC § 116.119" xr:uid="{00000000-0004-0000-0000-000010000000}"/>
    <hyperlink ref="A38:B38" r:id="rId4" display="Concrete Batch Plant Standard Permit Guidance" xr:uid="{00000000-0004-0000-0000-000011000000}"/>
    <hyperlink ref="A36" r:id="rId5" display="https://www3.tceq.texas.gov/steers/" xr:uid="{AE41F17A-56C1-45B0-A5B9-5A5C1AEAFEA9}"/>
    <hyperlink ref="A55:B55" location="'PI-1S-CBP'!A1" display="Click here to go to the PI-1S-CBP sheet." xr:uid="{BD18EEF3-01A8-4A10-9290-6262496787AE}"/>
  </hyperlinks>
  <printOptions horizontalCentered="1"/>
  <pageMargins left="0.25" right="0.25" top="1" bottom="0.5" header="0.3" footer="0.3"/>
  <pageSetup scale="86" fitToHeight="0" orientation="portrait" r:id="rId6"/>
  <headerFooter scaleWithDoc="0">
    <oddHeader>&amp;C&amp;"Arial,Bold"Texas Commission on Environmental Quality
Form PI-1S-CBP&amp;11
&amp;10&amp;A&amp;RDate: _&amp;___________
Registration #: ____________
Company: ____________</oddHeader>
    <oddFooter>&amp;LVersion 6.0&amp;CPage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DCDCFF"/>
  </sheetPr>
  <dimension ref="A1:H13"/>
  <sheetViews>
    <sheetView showGridLines="0" zoomScaleNormal="100" workbookViewId="0">
      <selection sqref="A1:D1"/>
    </sheetView>
  </sheetViews>
  <sheetFormatPr defaultColWidth="0" defaultRowHeight="12.75" zeroHeight="1" x14ac:dyDescent="0.2"/>
  <cols>
    <col min="1" max="4" width="30.7109375" customWidth="1"/>
    <col min="5" max="8" width="0" hidden="1" customWidth="1"/>
    <col min="9" max="16384" width="9.140625" hidden="1"/>
  </cols>
  <sheetData>
    <row r="1" spans="1:4" ht="36" customHeight="1" thickBot="1" x14ac:dyDescent="0.25">
      <c r="A1" s="883" t="s">
        <v>40</v>
      </c>
      <c r="B1" s="884"/>
      <c r="C1" s="884"/>
      <c r="D1" s="885"/>
    </row>
    <row r="2" spans="1:4" ht="15" customHeight="1" thickBot="1" x14ac:dyDescent="0.25">
      <c r="A2" s="886" t="s">
        <v>606</v>
      </c>
      <c r="B2" s="887"/>
      <c r="C2" s="887"/>
      <c r="D2" s="887"/>
    </row>
    <row r="3" spans="1:4" ht="274.5" customHeight="1" thickBot="1" x14ac:dyDescent="0.25">
      <c r="A3" s="631" t="s">
        <v>607</v>
      </c>
      <c r="B3" s="888"/>
      <c r="C3" s="888"/>
      <c r="D3" s="632"/>
    </row>
    <row r="4" spans="1:4" ht="15.75" thickBot="1" x14ac:dyDescent="0.25">
      <c r="A4" s="162" t="s">
        <v>608</v>
      </c>
      <c r="B4" s="163" t="s">
        <v>609</v>
      </c>
      <c r="C4" s="150" t="s">
        <v>610</v>
      </c>
      <c r="D4" s="163" t="s">
        <v>611</v>
      </c>
    </row>
    <row r="5" spans="1:4" ht="75" customHeight="1" x14ac:dyDescent="0.2">
      <c r="A5" s="147" t="s">
        <v>612</v>
      </c>
      <c r="B5" s="161" t="s">
        <v>613</v>
      </c>
      <c r="C5" s="85" t="s">
        <v>614</v>
      </c>
      <c r="D5" s="148" t="s">
        <v>615</v>
      </c>
    </row>
    <row r="6" spans="1:4" ht="105" customHeight="1" x14ac:dyDescent="0.2">
      <c r="A6" s="120" t="s">
        <v>616</v>
      </c>
      <c r="B6" s="159" t="s">
        <v>617</v>
      </c>
      <c r="C6" s="41" t="s">
        <v>614</v>
      </c>
      <c r="D6" s="149" t="s">
        <v>618</v>
      </c>
    </row>
    <row r="7" spans="1:4" ht="75" customHeight="1" x14ac:dyDescent="0.2">
      <c r="A7" s="120" t="str">
        <f>IF('PI-1S-CBP'!B98="select a county above.","Appropriate TCEQ Regional Office",'PI-1S-CBP'!B98)</f>
        <v>Appropriate TCEQ Regional Office</v>
      </c>
      <c r="B7" s="160" t="str">
        <f>IF(A7="Appropriate TCEQ Regional Office","Visit the website below for additional information.",VLOOKUP(A7,Reference!$G$16:$H$31,2,FALSE))</f>
        <v>Visit the website below for additional information.</v>
      </c>
      <c r="C7" s="42" t="s">
        <v>619</v>
      </c>
      <c r="D7" s="149" t="s">
        <v>620</v>
      </c>
    </row>
    <row r="8" spans="1:4" ht="75" customHeight="1" thickBot="1" x14ac:dyDescent="0.25">
      <c r="A8" s="151" t="s">
        <v>621</v>
      </c>
      <c r="B8" s="164" t="s">
        <v>622</v>
      </c>
      <c r="C8" s="152" t="s">
        <v>623</v>
      </c>
      <c r="D8" s="153" t="s">
        <v>620</v>
      </c>
    </row>
    <row r="9" spans="1:4" ht="20.100000000000001" customHeight="1" thickBot="1" x14ac:dyDescent="0.25">
      <c r="A9" s="880" t="s">
        <v>624</v>
      </c>
      <c r="B9" s="881"/>
      <c r="C9" s="881"/>
      <c r="D9" s="882"/>
    </row>
    <row r="10" spans="1:4" ht="15" customHeight="1" x14ac:dyDescent="0.2">
      <c r="A10" s="156" t="s">
        <v>625</v>
      </c>
      <c r="B10" s="157"/>
      <c r="C10" s="157" t="s">
        <v>626</v>
      </c>
      <c r="D10" s="158"/>
    </row>
    <row r="11" spans="1:4" ht="15" customHeight="1" x14ac:dyDescent="0.2">
      <c r="A11" s="889" t="s">
        <v>627</v>
      </c>
      <c r="B11" s="890"/>
      <c r="C11" s="876" t="s">
        <v>628</v>
      </c>
      <c r="D11" s="877"/>
    </row>
    <row r="12" spans="1:4" ht="15" customHeight="1" thickBot="1" x14ac:dyDescent="0.25">
      <c r="A12" s="874" t="s">
        <v>629</v>
      </c>
      <c r="B12" s="875"/>
      <c r="C12" s="878" t="s">
        <v>630</v>
      </c>
      <c r="D12" s="879"/>
    </row>
    <row r="13" spans="1:4" ht="14.25" x14ac:dyDescent="0.2">
      <c r="A13" s="155" t="s">
        <v>631</v>
      </c>
      <c r="B13" s="155"/>
      <c r="C13" s="155"/>
      <c r="D13" s="155"/>
    </row>
  </sheetData>
  <sheetProtection algorithmName="SHA-512" hashValue="A4Zg09/OdpEpRmlXF2gmsxYLHcJ2IoKT8Eyj4T5dlQjNQ/ytxE5a/uR9JKe1TcPTm7uRtmIEHIIjlmKTmNVuLg==" saltValue="tyWYiAB1BXo9nfDmXxkYRw==" spinCount="100000" sheet="1" objects="1" scenarios="1" formatColumns="0" formatRows="0" autoFilter="0"/>
  <mergeCells count="8">
    <mergeCell ref="A12:B12"/>
    <mergeCell ref="C11:D11"/>
    <mergeCell ref="C12:D12"/>
    <mergeCell ref="A9:D9"/>
    <mergeCell ref="A1:D1"/>
    <mergeCell ref="A2:D2"/>
    <mergeCell ref="A3:D3"/>
    <mergeCell ref="A11:B11"/>
  </mergeCells>
  <hyperlinks>
    <hyperlink ref="A2" location="Fees!A1" display="Click here to go back to the Fees sheet." xr:uid="{467CA534-41AD-4835-8BC0-14B21DD90CB6}"/>
    <hyperlink ref="A13:D13" location="'6004Requirements'!A1" display="Click here to go to the 6004Requirements sheet." xr:uid="{E543A1F8-9F5F-4DA8-AF9B-09BD2ACE15CD}"/>
    <hyperlink ref="C11" r:id="rId1" xr:uid="{54E4316C-DB6A-404A-B46C-7B18F344142C}"/>
    <hyperlink ref="C12" r:id="rId2" xr:uid="{746219C4-0B59-40D4-B708-3AF54F4AE071}"/>
  </hyperlinks>
  <printOptions horizontalCentered="1"/>
  <pageMargins left="0.25" right="0.25" top="1" bottom="0.5" header="0.3" footer="0.3"/>
  <pageSetup scale="80" fitToHeight="0" orientation="portrait" cellComments="asDisplayed" r:id="rId3"/>
  <headerFooter scaleWithDoc="0">
    <oddHeader>&amp;C&amp;"Arial,Bold"Texas Commission on Environmental Quality
Form PI-1S-CBP&amp;11
&amp;10&amp;A&amp;RDate: ____________
Registration #: ____________
Company: ____________</oddHeader>
    <oddFooter>&amp;LVersion 6.0&amp;CPage &amp;P</oddFooter>
  </headerFooter>
  <tableParts count="1">
    <tablePart r:id="rId4"/>
  </tableParts>
  <extLst>
    <ext xmlns:x14="http://schemas.microsoft.com/office/spreadsheetml/2009/9/main" uri="{78C0D931-6437-407d-A8EE-F0AAD7539E65}">
      <x14:conditionalFormattings>
        <x14:conditionalFormatting xmlns:xm="http://schemas.microsoft.com/office/excel/2006/main">
          <x14:cfRule type="expression" priority="2" id="{591F255A-7265-4187-A101-F0811C63D9C0}">
            <xm:f>COUNTIF('6004Checklist'!$A$23,"*temporary*")&gt;0</xm:f>
            <x14:dxf>
              <numFmt numFmtId="166" formatCode=";;;"/>
              <fill>
                <patternFill>
                  <bgColor theme="0" tint="-0.499984740745262"/>
                </patternFill>
              </fill>
            </x14:dxf>
          </x14:cfRule>
          <xm:sqref>A1:A3 A4:D8 A9 A10:D10 A11:A12 C11:C12 A13:D13</xm:sqref>
        </x14:conditionalFormatting>
        <x14:conditionalFormatting xmlns:xm="http://schemas.microsoft.com/office/excel/2006/main">
          <x14:cfRule type="expression" priority="1" id="{00000000-000E-0000-0A00-000001000000}">
            <xm:f>'PI-1S-CBP'!$B$6= "I disagree"</xm:f>
            <x14:dxf>
              <font>
                <color theme="0" tint="-0.499984740745262"/>
              </font>
              <fill>
                <patternFill>
                  <bgColor theme="0" tint="-0.499984740745262"/>
                </patternFill>
              </fill>
            </x14:dxf>
          </x14:cfRule>
          <xm:sqref>A1:D1048576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DCDCFF"/>
  </sheetPr>
  <dimension ref="A1:I181"/>
  <sheetViews>
    <sheetView showGridLines="0" zoomScaleNormal="100" workbookViewId="0">
      <selection sqref="A1:F1"/>
    </sheetView>
  </sheetViews>
  <sheetFormatPr defaultColWidth="0" defaultRowHeight="12.75" zeroHeight="1" x14ac:dyDescent="0.2"/>
  <cols>
    <col min="1" max="3" width="5.7109375" customWidth="1"/>
    <col min="4" max="4" width="45.7109375" customWidth="1"/>
    <col min="5" max="6" width="40.7109375" customWidth="1"/>
    <col min="7" max="8" width="3.28515625" hidden="1" customWidth="1"/>
    <col min="9" max="9" width="136.85546875" hidden="1" customWidth="1"/>
    <col min="10" max="16384" width="9.140625" hidden="1"/>
  </cols>
  <sheetData>
    <row r="1" spans="1:6" s="154" customFormat="1" ht="36" customHeight="1" thickBot="1" x14ac:dyDescent="0.25">
      <c r="A1" s="906" t="s">
        <v>42</v>
      </c>
      <c r="B1" s="907"/>
      <c r="C1" s="907"/>
      <c r="D1" s="907"/>
      <c r="E1" s="907"/>
      <c r="F1" s="908"/>
    </row>
    <row r="2" spans="1:6" s="1" customFormat="1" ht="15" customHeight="1" thickBot="1" x14ac:dyDescent="0.25">
      <c r="A2" s="422" t="s">
        <v>632</v>
      </c>
      <c r="B2" s="423"/>
      <c r="C2" s="423"/>
      <c r="D2" s="423"/>
      <c r="E2" s="423"/>
      <c r="F2" s="424"/>
    </row>
    <row r="3" spans="1:6" s="1" customFormat="1" ht="14.25" x14ac:dyDescent="0.2">
      <c r="A3" s="204" t="s">
        <v>1271</v>
      </c>
      <c r="B3" s="420"/>
      <c r="C3" s="420"/>
      <c r="D3" s="420"/>
      <c r="E3" s="420"/>
      <c r="F3" s="421"/>
    </row>
    <row r="4" spans="1:6" s="1" customFormat="1" ht="30" customHeight="1" thickBot="1" x14ac:dyDescent="0.25">
      <c r="A4" s="577" t="s">
        <v>633</v>
      </c>
      <c r="B4" s="751"/>
      <c r="C4" s="751"/>
      <c r="D4" s="909"/>
      <c r="E4" s="909"/>
      <c r="F4" s="910"/>
    </row>
    <row r="5" spans="1:6" s="1" customFormat="1" ht="15" customHeight="1" x14ac:dyDescent="0.2">
      <c r="A5" s="204">
        <v>1</v>
      </c>
      <c r="B5" s="902" t="s">
        <v>634</v>
      </c>
      <c r="C5" s="903"/>
      <c r="D5" s="903"/>
      <c r="E5" s="903"/>
      <c r="F5" s="904"/>
    </row>
    <row r="6" spans="1:6" s="1" customFormat="1" ht="77.25" customHeight="1" x14ac:dyDescent="0.2">
      <c r="A6" s="426"/>
      <c r="B6" s="43" t="s">
        <v>635</v>
      </c>
      <c r="C6" s="703" t="s">
        <v>636</v>
      </c>
      <c r="D6" s="900"/>
      <c r="E6" s="900"/>
      <c r="F6" s="901"/>
    </row>
    <row r="7" spans="1:6" s="1" customFormat="1" ht="46.5" customHeight="1" x14ac:dyDescent="0.2">
      <c r="A7" s="426"/>
      <c r="B7" s="43" t="s">
        <v>637</v>
      </c>
      <c r="C7" s="703" t="s">
        <v>638</v>
      </c>
      <c r="D7" s="892"/>
      <c r="E7" s="892"/>
      <c r="F7" s="893"/>
    </row>
    <row r="8" spans="1:6" s="1" customFormat="1" ht="42.75" customHeight="1" x14ac:dyDescent="0.2">
      <c r="A8" s="426"/>
      <c r="B8" s="43" t="s">
        <v>639</v>
      </c>
      <c r="C8" s="703" t="s">
        <v>640</v>
      </c>
      <c r="D8" s="892"/>
      <c r="E8" s="892"/>
      <c r="F8" s="893"/>
    </row>
    <row r="9" spans="1:6" s="1" customFormat="1" ht="15" customHeight="1" x14ac:dyDescent="0.2">
      <c r="A9" s="426"/>
      <c r="B9" s="43" t="s">
        <v>641</v>
      </c>
      <c r="C9" s="703" t="s">
        <v>642</v>
      </c>
      <c r="D9" s="892"/>
      <c r="E9" s="892"/>
      <c r="F9" s="893"/>
    </row>
    <row r="10" spans="1:6" s="1" customFormat="1" ht="15" customHeight="1" x14ac:dyDescent="0.2">
      <c r="A10" s="426"/>
      <c r="B10" s="43"/>
      <c r="C10" s="43"/>
      <c r="D10" s="19"/>
      <c r="E10" s="19"/>
      <c r="F10" s="289"/>
    </row>
    <row r="11" spans="1:6" s="1" customFormat="1" ht="15" customHeight="1" x14ac:dyDescent="0.2">
      <c r="A11" s="62">
        <v>2</v>
      </c>
      <c r="B11" s="897" t="s">
        <v>643</v>
      </c>
      <c r="C11" s="900"/>
      <c r="D11" s="900"/>
      <c r="E11" s="900"/>
      <c r="F11" s="901"/>
    </row>
    <row r="12" spans="1:6" s="1" customFormat="1" ht="29.25" customHeight="1" x14ac:dyDescent="0.2">
      <c r="A12" s="426"/>
      <c r="B12" s="43" t="s">
        <v>635</v>
      </c>
      <c r="C12" s="703" t="s">
        <v>644</v>
      </c>
      <c r="D12" s="892"/>
      <c r="E12" s="892"/>
      <c r="F12" s="893"/>
    </row>
    <row r="13" spans="1:6" s="1" customFormat="1" ht="45" customHeight="1" x14ac:dyDescent="0.2">
      <c r="A13" s="426"/>
      <c r="B13" s="43" t="s">
        <v>637</v>
      </c>
      <c r="C13" s="703" t="s">
        <v>645</v>
      </c>
      <c r="D13" s="892"/>
      <c r="E13" s="892"/>
      <c r="F13" s="893"/>
    </row>
    <row r="14" spans="1:6" s="1" customFormat="1" ht="73.5" customHeight="1" x14ac:dyDescent="0.2">
      <c r="A14" s="426"/>
      <c r="B14" s="43" t="s">
        <v>639</v>
      </c>
      <c r="C14" s="703" t="s">
        <v>646</v>
      </c>
      <c r="D14" s="892"/>
      <c r="E14" s="892"/>
      <c r="F14" s="893"/>
    </row>
    <row r="15" spans="1:6" s="1" customFormat="1" ht="32.25" customHeight="1" x14ac:dyDescent="0.2">
      <c r="A15" s="426"/>
      <c r="B15" s="43" t="s">
        <v>641</v>
      </c>
      <c r="C15" s="703" t="s">
        <v>647</v>
      </c>
      <c r="D15" s="892"/>
      <c r="E15" s="892"/>
      <c r="F15" s="893"/>
    </row>
    <row r="16" spans="1:6" s="1" customFormat="1" ht="32.25" customHeight="1" x14ac:dyDescent="0.2">
      <c r="A16" s="426"/>
      <c r="B16" s="43" t="s">
        <v>648</v>
      </c>
      <c r="C16" s="703" t="s">
        <v>649</v>
      </c>
      <c r="D16" s="892"/>
      <c r="E16" s="892"/>
      <c r="F16" s="893"/>
    </row>
    <row r="17" spans="1:6" s="1" customFormat="1" ht="61.5" customHeight="1" x14ac:dyDescent="0.2">
      <c r="A17" s="426"/>
      <c r="B17" s="43" t="s">
        <v>650</v>
      </c>
      <c r="C17" s="703" t="s">
        <v>651</v>
      </c>
      <c r="D17" s="892"/>
      <c r="E17" s="892"/>
      <c r="F17" s="893"/>
    </row>
    <row r="18" spans="1:6" s="1" customFormat="1" ht="57.75" customHeight="1" x14ac:dyDescent="0.2">
      <c r="A18" s="426"/>
      <c r="B18" s="43" t="s">
        <v>652</v>
      </c>
      <c r="C18" s="703" t="s">
        <v>653</v>
      </c>
      <c r="D18" s="892"/>
      <c r="E18" s="892"/>
      <c r="F18" s="893"/>
    </row>
    <row r="19" spans="1:6" s="1" customFormat="1" ht="30" customHeight="1" x14ac:dyDescent="0.2">
      <c r="A19" s="426"/>
      <c r="B19" s="43" t="s">
        <v>654</v>
      </c>
      <c r="C19" s="703" t="s">
        <v>655</v>
      </c>
      <c r="D19" s="892"/>
      <c r="E19" s="892"/>
      <c r="F19" s="893"/>
    </row>
    <row r="20" spans="1:6" s="1" customFormat="1" ht="45.75" customHeight="1" x14ac:dyDescent="0.2">
      <c r="A20" s="426"/>
      <c r="B20" s="43" t="s">
        <v>656</v>
      </c>
      <c r="C20" s="703" t="s">
        <v>657</v>
      </c>
      <c r="D20" s="892"/>
      <c r="E20" s="892"/>
      <c r="F20" s="893"/>
    </row>
    <row r="21" spans="1:6" s="1" customFormat="1" ht="33" customHeight="1" x14ac:dyDescent="0.2">
      <c r="A21" s="426"/>
      <c r="B21" s="43" t="s">
        <v>658</v>
      </c>
      <c r="C21" s="703" t="s">
        <v>655</v>
      </c>
      <c r="D21" s="892"/>
      <c r="E21" s="892"/>
      <c r="F21" s="893"/>
    </row>
    <row r="22" spans="1:6" s="1" customFormat="1" ht="60" customHeight="1" x14ac:dyDescent="0.2">
      <c r="A22" s="426"/>
      <c r="B22" s="43" t="s">
        <v>659</v>
      </c>
      <c r="C22" s="703" t="s">
        <v>660</v>
      </c>
      <c r="D22" s="892"/>
      <c r="E22" s="892"/>
      <c r="F22" s="893"/>
    </row>
    <row r="23" spans="1:6" s="1" customFormat="1" ht="32.25" customHeight="1" x14ac:dyDescent="0.2">
      <c r="A23" s="426"/>
      <c r="B23" s="43" t="s">
        <v>661</v>
      </c>
      <c r="C23" s="703" t="s">
        <v>662</v>
      </c>
      <c r="D23" s="892"/>
      <c r="E23" s="892"/>
      <c r="F23" s="893"/>
    </row>
    <row r="24" spans="1:6" s="1" customFormat="1" ht="44.25" customHeight="1" x14ac:dyDescent="0.2">
      <c r="A24" s="426"/>
      <c r="B24" s="43" t="s">
        <v>663</v>
      </c>
      <c r="C24" s="703" t="s">
        <v>664</v>
      </c>
      <c r="D24" s="892"/>
      <c r="E24" s="892"/>
      <c r="F24" s="893"/>
    </row>
    <row r="25" spans="1:6" s="1" customFormat="1" ht="30" customHeight="1" x14ac:dyDescent="0.2">
      <c r="A25" s="426"/>
      <c r="B25" s="43" t="s">
        <v>665</v>
      </c>
      <c r="C25" s="703" t="s">
        <v>666</v>
      </c>
      <c r="D25" s="892"/>
      <c r="E25" s="892"/>
      <c r="F25" s="893"/>
    </row>
    <row r="26" spans="1:6" s="1" customFormat="1" ht="32.25" customHeight="1" x14ac:dyDescent="0.2">
      <c r="A26" s="426"/>
      <c r="B26" s="43" t="s">
        <v>667</v>
      </c>
      <c r="C26" s="703" t="s">
        <v>668</v>
      </c>
      <c r="D26" s="892"/>
      <c r="E26" s="892"/>
      <c r="F26" s="893"/>
    </row>
    <row r="27" spans="1:6" s="1" customFormat="1" ht="14.25" customHeight="1" x14ac:dyDescent="0.2">
      <c r="A27" s="418"/>
      <c r="B27" s="533"/>
      <c r="C27" s="533"/>
      <c r="D27" s="533"/>
      <c r="E27" s="533"/>
      <c r="F27" s="419"/>
    </row>
    <row r="28" spans="1:6" s="1" customFormat="1" ht="15" customHeight="1" x14ac:dyDescent="0.2">
      <c r="A28" s="62">
        <v>3</v>
      </c>
      <c r="B28" s="897" t="s">
        <v>669</v>
      </c>
      <c r="C28" s="900"/>
      <c r="D28" s="900"/>
      <c r="E28" s="900"/>
      <c r="F28" s="901"/>
    </row>
    <row r="29" spans="1:6" s="1" customFormat="1" ht="45.75" customHeight="1" x14ac:dyDescent="0.2">
      <c r="A29" s="48">
        <v>3</v>
      </c>
      <c r="B29" s="43" t="s">
        <v>635</v>
      </c>
      <c r="C29" s="703" t="s">
        <v>670</v>
      </c>
      <c r="D29" s="892"/>
      <c r="E29" s="892"/>
      <c r="F29" s="893"/>
    </row>
    <row r="30" spans="1:6" s="1" customFormat="1" ht="29.25" customHeight="1" x14ac:dyDescent="0.2">
      <c r="A30" s="48">
        <v>3</v>
      </c>
      <c r="B30" s="43" t="s">
        <v>637</v>
      </c>
      <c r="C30" s="703" t="s">
        <v>671</v>
      </c>
      <c r="D30" s="892"/>
      <c r="E30" s="892"/>
      <c r="F30" s="893"/>
    </row>
    <row r="31" spans="1:6" s="1" customFormat="1" ht="33" customHeight="1" x14ac:dyDescent="0.2">
      <c r="A31" s="48">
        <v>3</v>
      </c>
      <c r="B31" s="43" t="s">
        <v>639</v>
      </c>
      <c r="C31" s="703" t="s">
        <v>672</v>
      </c>
      <c r="D31" s="892"/>
      <c r="E31" s="892"/>
      <c r="F31" s="893"/>
    </row>
    <row r="32" spans="1:6" s="1" customFormat="1" ht="15.75" customHeight="1" x14ac:dyDescent="0.2">
      <c r="A32" s="48">
        <v>3</v>
      </c>
      <c r="B32" s="43" t="s">
        <v>641</v>
      </c>
      <c r="C32" s="703" t="s">
        <v>673</v>
      </c>
      <c r="D32" s="892"/>
      <c r="E32" s="892"/>
      <c r="F32" s="893"/>
    </row>
    <row r="33" spans="1:6" s="1" customFormat="1" ht="14.25" customHeight="1" x14ac:dyDescent="0.2">
      <c r="A33" s="48">
        <v>3</v>
      </c>
      <c r="B33" s="43" t="s">
        <v>648</v>
      </c>
      <c r="C33" s="703" t="s">
        <v>674</v>
      </c>
      <c r="D33" s="892"/>
      <c r="E33" s="892"/>
      <c r="F33" s="893"/>
    </row>
    <row r="34" spans="1:6" s="1" customFormat="1" ht="14.25" customHeight="1" x14ac:dyDescent="0.2">
      <c r="A34" s="48">
        <v>3</v>
      </c>
      <c r="B34" s="43" t="s">
        <v>650</v>
      </c>
      <c r="C34" s="703" t="s">
        <v>675</v>
      </c>
      <c r="D34" s="892"/>
      <c r="E34" s="892"/>
      <c r="F34" s="893"/>
    </row>
    <row r="35" spans="1:6" s="1" customFormat="1" ht="14.25" x14ac:dyDescent="0.2">
      <c r="A35" s="48">
        <v>3</v>
      </c>
      <c r="B35" s="59" t="s">
        <v>650</v>
      </c>
      <c r="C35" s="43" t="s">
        <v>676</v>
      </c>
      <c r="D35" s="704" t="s">
        <v>677</v>
      </c>
      <c r="E35" s="900"/>
      <c r="F35" s="901"/>
    </row>
    <row r="36" spans="1:6" s="1" customFormat="1" ht="14.25" x14ac:dyDescent="0.2">
      <c r="A36" s="48">
        <v>3</v>
      </c>
      <c r="B36" s="59" t="s">
        <v>650</v>
      </c>
      <c r="C36" s="43" t="s">
        <v>678</v>
      </c>
      <c r="D36" s="704" t="s">
        <v>679</v>
      </c>
      <c r="E36" s="900"/>
      <c r="F36" s="901"/>
    </row>
    <row r="37" spans="1:6" s="1" customFormat="1" ht="33.75" customHeight="1" x14ac:dyDescent="0.2">
      <c r="A37" s="48">
        <v>3</v>
      </c>
      <c r="B37" s="43" t="s">
        <v>652</v>
      </c>
      <c r="C37" s="703" t="s">
        <v>680</v>
      </c>
      <c r="D37" s="892"/>
      <c r="E37" s="892"/>
      <c r="F37" s="893"/>
    </row>
    <row r="38" spans="1:6" s="1" customFormat="1" ht="33" customHeight="1" x14ac:dyDescent="0.2">
      <c r="A38" s="48">
        <v>3</v>
      </c>
      <c r="B38" s="43" t="s">
        <v>654</v>
      </c>
      <c r="C38" s="703" t="s">
        <v>681</v>
      </c>
      <c r="D38" s="892"/>
      <c r="E38" s="892"/>
      <c r="F38" s="893"/>
    </row>
    <row r="39" spans="1:6" s="1" customFormat="1" ht="33" customHeight="1" x14ac:dyDescent="0.2">
      <c r="A39" s="48">
        <v>3</v>
      </c>
      <c r="B39" s="43" t="s">
        <v>656</v>
      </c>
      <c r="C39" s="703" t="s">
        <v>682</v>
      </c>
      <c r="D39" s="892"/>
      <c r="E39" s="892"/>
      <c r="F39" s="893"/>
    </row>
    <row r="40" spans="1:6" s="1" customFormat="1" ht="46.5" customHeight="1" x14ac:dyDescent="0.2">
      <c r="A40" s="48">
        <v>3</v>
      </c>
      <c r="B40" s="43" t="s">
        <v>658</v>
      </c>
      <c r="C40" s="703" t="s">
        <v>683</v>
      </c>
      <c r="D40" s="892"/>
      <c r="E40" s="892"/>
      <c r="F40" s="893"/>
    </row>
    <row r="41" spans="1:6" s="1" customFormat="1" ht="14.25" x14ac:dyDescent="0.2">
      <c r="A41" s="48">
        <v>3</v>
      </c>
      <c r="B41" s="59"/>
      <c r="C41" s="43" t="s">
        <v>676</v>
      </c>
      <c r="D41" s="704" t="s">
        <v>684</v>
      </c>
      <c r="E41" s="892"/>
      <c r="F41" s="893"/>
    </row>
    <row r="42" spans="1:6" s="1" customFormat="1" ht="14.25" x14ac:dyDescent="0.2">
      <c r="A42" s="48">
        <v>3</v>
      </c>
      <c r="B42" s="59"/>
      <c r="C42" s="43" t="s">
        <v>678</v>
      </c>
      <c r="D42" s="704" t="s">
        <v>685</v>
      </c>
      <c r="E42" s="892"/>
      <c r="F42" s="893"/>
    </row>
    <row r="43" spans="1:6" s="1" customFormat="1" ht="32.25" customHeight="1" x14ac:dyDescent="0.2">
      <c r="A43" s="48">
        <v>3</v>
      </c>
      <c r="B43" s="59"/>
      <c r="C43" s="43" t="s">
        <v>686</v>
      </c>
      <c r="D43" s="704" t="s">
        <v>687</v>
      </c>
      <c r="E43" s="892"/>
      <c r="F43" s="893"/>
    </row>
    <row r="44" spans="1:6" s="1" customFormat="1" ht="14.25" x14ac:dyDescent="0.2">
      <c r="A44" s="48">
        <v>3</v>
      </c>
      <c r="B44" s="59"/>
      <c r="C44" s="43" t="s">
        <v>688</v>
      </c>
      <c r="D44" s="704" t="s">
        <v>689</v>
      </c>
      <c r="E44" s="892"/>
      <c r="F44" s="893"/>
    </row>
    <row r="45" spans="1:6" s="1" customFormat="1" ht="14.25" x14ac:dyDescent="0.2">
      <c r="A45" s="48">
        <v>3</v>
      </c>
      <c r="B45" s="59"/>
      <c r="C45" s="43" t="s">
        <v>690</v>
      </c>
      <c r="D45" s="704" t="s">
        <v>691</v>
      </c>
      <c r="E45" s="892"/>
      <c r="F45" s="893"/>
    </row>
    <row r="46" spans="1:6" s="1" customFormat="1" ht="14.25" x14ac:dyDescent="0.2">
      <c r="A46" s="48">
        <v>3</v>
      </c>
      <c r="B46" s="59"/>
      <c r="C46" s="43" t="s">
        <v>692</v>
      </c>
      <c r="D46" s="704" t="s">
        <v>693</v>
      </c>
      <c r="E46" s="892"/>
      <c r="F46" s="893"/>
    </row>
    <row r="47" spans="1:6" s="1" customFormat="1" ht="14.25" x14ac:dyDescent="0.2">
      <c r="A47" s="48">
        <v>3</v>
      </c>
      <c r="B47" s="59"/>
      <c r="C47" s="43" t="s">
        <v>694</v>
      </c>
      <c r="D47" s="704" t="s">
        <v>695</v>
      </c>
      <c r="E47" s="892"/>
      <c r="F47" s="893"/>
    </row>
    <row r="48" spans="1:6" s="1" customFormat="1" ht="14.25" x14ac:dyDescent="0.2">
      <c r="A48" s="48">
        <v>3</v>
      </c>
      <c r="B48" s="59"/>
      <c r="C48" s="43" t="s">
        <v>696</v>
      </c>
      <c r="D48" s="704" t="s">
        <v>697</v>
      </c>
      <c r="E48" s="892"/>
      <c r="F48" s="893"/>
    </row>
    <row r="49" spans="1:6" s="1" customFormat="1" ht="14.25" x14ac:dyDescent="0.2">
      <c r="A49" s="48">
        <v>3</v>
      </c>
      <c r="B49" s="59"/>
      <c r="C49" s="43" t="s">
        <v>698</v>
      </c>
      <c r="D49" s="704" t="s">
        <v>699</v>
      </c>
      <c r="E49" s="892"/>
      <c r="F49" s="893"/>
    </row>
    <row r="50" spans="1:6" s="1" customFormat="1" ht="14.25" x14ac:dyDescent="0.2">
      <c r="A50" s="48">
        <v>3</v>
      </c>
      <c r="B50" s="59"/>
      <c r="C50" s="43" t="s">
        <v>700</v>
      </c>
      <c r="D50" s="704" t="s">
        <v>701</v>
      </c>
      <c r="E50" s="892"/>
      <c r="F50" s="893"/>
    </row>
    <row r="51" spans="1:6" s="1" customFormat="1" ht="14.25" x14ac:dyDescent="0.2">
      <c r="A51" s="48">
        <v>3</v>
      </c>
      <c r="B51" s="59"/>
      <c r="C51" s="43" t="s">
        <v>702</v>
      </c>
      <c r="D51" s="704" t="s">
        <v>703</v>
      </c>
      <c r="E51" s="892"/>
      <c r="F51" s="893"/>
    </row>
    <row r="52" spans="1:6" s="1" customFormat="1" ht="14.25" x14ac:dyDescent="0.2">
      <c r="A52" s="48"/>
      <c r="B52" s="59"/>
      <c r="C52" s="43" t="s">
        <v>704</v>
      </c>
      <c r="D52" s="704" t="s">
        <v>705</v>
      </c>
      <c r="E52" s="892"/>
      <c r="F52" s="893"/>
    </row>
    <row r="53" spans="1:6" s="1" customFormat="1" ht="31.5" customHeight="1" x14ac:dyDescent="0.2">
      <c r="A53" s="48">
        <v>3</v>
      </c>
      <c r="B53" s="43" t="s">
        <v>659</v>
      </c>
      <c r="C53" s="703" t="s">
        <v>706</v>
      </c>
      <c r="D53" s="892"/>
      <c r="E53" s="892"/>
      <c r="F53" s="893"/>
    </row>
    <row r="54" spans="1:6" s="1" customFormat="1" ht="14.25" customHeight="1" x14ac:dyDescent="0.2">
      <c r="A54" s="418" t="s">
        <v>707</v>
      </c>
      <c r="B54" s="533"/>
      <c r="C54" s="533"/>
      <c r="D54" s="533"/>
      <c r="E54" s="533"/>
      <c r="F54" s="419"/>
    </row>
    <row r="55" spans="1:6" s="1" customFormat="1" ht="15" customHeight="1" x14ac:dyDescent="0.2">
      <c r="A55" s="62">
        <v>4</v>
      </c>
      <c r="B55" s="897" t="s">
        <v>35</v>
      </c>
      <c r="C55" s="892"/>
      <c r="D55" s="892"/>
      <c r="E55" s="892"/>
      <c r="F55" s="893"/>
    </row>
    <row r="56" spans="1:6" s="1" customFormat="1" ht="30" customHeight="1" x14ac:dyDescent="0.2">
      <c r="A56" s="48">
        <v>4</v>
      </c>
      <c r="C56" s="703" t="s">
        <v>708</v>
      </c>
      <c r="D56" s="892"/>
      <c r="E56" s="892"/>
      <c r="F56" s="893"/>
    </row>
    <row r="57" spans="1:6" s="1" customFormat="1" ht="14.25" customHeight="1" x14ac:dyDescent="0.2">
      <c r="A57" s="418" t="s">
        <v>707</v>
      </c>
      <c r="B57" s="533"/>
      <c r="C57" s="533"/>
      <c r="D57" s="533"/>
      <c r="E57" s="533"/>
      <c r="F57" s="419"/>
    </row>
    <row r="58" spans="1:6" s="1" customFormat="1" ht="15" customHeight="1" x14ac:dyDescent="0.2">
      <c r="A58" s="62">
        <v>5</v>
      </c>
      <c r="B58" s="897" t="s">
        <v>709</v>
      </c>
      <c r="C58" s="892"/>
      <c r="D58" s="892"/>
      <c r="E58" s="892"/>
      <c r="F58" s="893"/>
    </row>
    <row r="59" spans="1:6" s="1" customFormat="1" ht="31.5" customHeight="1" x14ac:dyDescent="0.2">
      <c r="A59" s="48">
        <v>5</v>
      </c>
      <c r="B59" s="43" t="s">
        <v>635</v>
      </c>
      <c r="C59" s="703" t="s">
        <v>710</v>
      </c>
      <c r="D59" s="892"/>
      <c r="E59" s="892"/>
      <c r="F59" s="893"/>
    </row>
    <row r="60" spans="1:6" s="1" customFormat="1" ht="14.25" customHeight="1" x14ac:dyDescent="0.2">
      <c r="A60" s="48">
        <v>5</v>
      </c>
      <c r="B60" s="43" t="s">
        <v>637</v>
      </c>
      <c r="C60" s="703" t="s">
        <v>711</v>
      </c>
      <c r="D60" s="892"/>
      <c r="E60" s="892"/>
      <c r="F60" s="893"/>
    </row>
    <row r="61" spans="1:6" s="1" customFormat="1" ht="14.25" x14ac:dyDescent="0.2">
      <c r="A61" s="48">
        <v>5</v>
      </c>
      <c r="B61" s="59"/>
      <c r="C61" s="43" t="s">
        <v>676</v>
      </c>
      <c r="D61" s="704" t="s">
        <v>712</v>
      </c>
      <c r="E61" s="892"/>
      <c r="F61" s="893"/>
    </row>
    <row r="62" spans="1:6" s="1" customFormat="1" ht="32.25" customHeight="1" x14ac:dyDescent="0.2">
      <c r="A62" s="48">
        <v>5</v>
      </c>
      <c r="B62" s="59"/>
      <c r="C62" s="43" t="s">
        <v>678</v>
      </c>
      <c r="D62" s="704" t="s">
        <v>713</v>
      </c>
      <c r="E62" s="892"/>
      <c r="F62" s="893"/>
    </row>
    <row r="63" spans="1:6" s="1" customFormat="1" ht="32.25" customHeight="1" x14ac:dyDescent="0.2">
      <c r="A63" s="48">
        <v>5</v>
      </c>
      <c r="B63" s="59"/>
      <c r="C63" s="43" t="s">
        <v>686</v>
      </c>
      <c r="D63" s="704" t="s">
        <v>714</v>
      </c>
      <c r="E63" s="892"/>
      <c r="F63" s="893"/>
    </row>
    <row r="64" spans="1:6" s="1" customFormat="1" ht="32.25" customHeight="1" x14ac:dyDescent="0.2">
      <c r="A64" s="48">
        <v>5</v>
      </c>
      <c r="B64" s="59"/>
      <c r="C64" s="43" t="s">
        <v>688</v>
      </c>
      <c r="D64" s="704" t="s">
        <v>715</v>
      </c>
      <c r="E64" s="892"/>
      <c r="F64" s="893"/>
    </row>
    <row r="65" spans="1:6" s="1" customFormat="1" ht="14.25" customHeight="1" x14ac:dyDescent="0.2">
      <c r="A65" s="48">
        <v>5</v>
      </c>
      <c r="B65" s="43" t="s">
        <v>639</v>
      </c>
      <c r="C65" s="703" t="s">
        <v>716</v>
      </c>
      <c r="D65" s="892"/>
      <c r="E65" s="892"/>
      <c r="F65" s="893"/>
    </row>
    <row r="66" spans="1:6" s="1" customFormat="1" ht="31.5" customHeight="1" x14ac:dyDescent="0.2">
      <c r="A66" s="48">
        <v>5</v>
      </c>
      <c r="B66" s="59"/>
      <c r="C66" s="43" t="s">
        <v>676</v>
      </c>
      <c r="D66" s="704" t="s">
        <v>717</v>
      </c>
      <c r="E66" s="892"/>
      <c r="F66" s="893"/>
    </row>
    <row r="67" spans="1:6" s="1" customFormat="1" ht="31.5" customHeight="1" x14ac:dyDescent="0.2">
      <c r="A67" s="48">
        <v>5</v>
      </c>
      <c r="B67" s="59"/>
      <c r="C67" s="43" t="s">
        <v>678</v>
      </c>
      <c r="D67" s="704" t="s">
        <v>718</v>
      </c>
      <c r="E67" s="892"/>
      <c r="F67" s="893"/>
    </row>
    <row r="68" spans="1:6" s="1" customFormat="1" ht="14.25" customHeight="1" x14ac:dyDescent="0.2">
      <c r="A68" s="48">
        <v>5</v>
      </c>
      <c r="B68" s="43" t="s">
        <v>641</v>
      </c>
      <c r="C68" s="703" t="s">
        <v>719</v>
      </c>
      <c r="D68" s="892"/>
      <c r="E68" s="892"/>
      <c r="F68" s="893"/>
    </row>
    <row r="69" spans="1:6" s="1" customFormat="1" ht="29.25" customHeight="1" x14ac:dyDescent="0.2">
      <c r="A69" s="48">
        <v>5</v>
      </c>
      <c r="B69" s="59"/>
      <c r="C69" s="43" t="s">
        <v>676</v>
      </c>
      <c r="D69" s="704" t="s">
        <v>720</v>
      </c>
      <c r="E69" s="892"/>
      <c r="F69" s="893"/>
    </row>
    <row r="70" spans="1:6" s="1" customFormat="1" ht="30" customHeight="1" x14ac:dyDescent="0.2">
      <c r="A70" s="48">
        <v>5</v>
      </c>
      <c r="B70" s="59"/>
      <c r="C70" s="43" t="s">
        <v>678</v>
      </c>
      <c r="D70" s="704" t="s">
        <v>721</v>
      </c>
      <c r="E70" s="892"/>
      <c r="F70" s="893"/>
    </row>
    <row r="71" spans="1:6" s="1" customFormat="1" ht="44.25" customHeight="1" x14ac:dyDescent="0.2">
      <c r="A71" s="48">
        <v>5</v>
      </c>
      <c r="B71" s="59"/>
      <c r="C71" s="43" t="s">
        <v>686</v>
      </c>
      <c r="D71" s="704" t="s">
        <v>722</v>
      </c>
      <c r="E71" s="892"/>
      <c r="F71" s="893"/>
    </row>
    <row r="72" spans="1:6" s="1" customFormat="1" ht="14.25" customHeight="1" x14ac:dyDescent="0.2">
      <c r="A72" s="48">
        <v>5</v>
      </c>
      <c r="B72" s="43" t="s">
        <v>648</v>
      </c>
      <c r="C72" s="703" t="s">
        <v>723</v>
      </c>
      <c r="D72" s="892"/>
      <c r="E72" s="892"/>
      <c r="F72" s="893"/>
    </row>
    <row r="73" spans="1:6" s="1" customFormat="1" ht="14.25" x14ac:dyDescent="0.2">
      <c r="A73" s="48">
        <v>5</v>
      </c>
      <c r="B73" s="59"/>
      <c r="C73" s="43" t="s">
        <v>676</v>
      </c>
      <c r="D73" s="704" t="s">
        <v>724</v>
      </c>
      <c r="E73" s="892"/>
      <c r="F73" s="893"/>
    </row>
    <row r="74" spans="1:6" s="1" customFormat="1" ht="31.5" customHeight="1" x14ac:dyDescent="0.2">
      <c r="A74" s="48">
        <v>5</v>
      </c>
      <c r="B74" s="59"/>
      <c r="C74" s="43" t="s">
        <v>678</v>
      </c>
      <c r="D74" s="704" t="s">
        <v>725</v>
      </c>
      <c r="E74" s="892"/>
      <c r="F74" s="893"/>
    </row>
    <row r="75" spans="1:6" s="1" customFormat="1" ht="31.5" customHeight="1" x14ac:dyDescent="0.2">
      <c r="A75" s="48">
        <v>5</v>
      </c>
      <c r="B75" s="59"/>
      <c r="C75" s="43" t="s">
        <v>686</v>
      </c>
      <c r="D75" s="704" t="s">
        <v>726</v>
      </c>
      <c r="E75" s="892"/>
      <c r="F75" s="893"/>
    </row>
    <row r="76" spans="1:6" s="1" customFormat="1" ht="14.25" x14ac:dyDescent="0.2">
      <c r="A76" s="48">
        <v>5</v>
      </c>
      <c r="B76" s="59"/>
      <c r="C76" s="43" t="s">
        <v>688</v>
      </c>
      <c r="D76" s="704" t="s">
        <v>727</v>
      </c>
      <c r="E76" s="892"/>
      <c r="F76" s="893"/>
    </row>
    <row r="77" spans="1:6" s="1" customFormat="1" ht="14.25" customHeight="1" x14ac:dyDescent="0.2">
      <c r="A77" s="48">
        <v>5</v>
      </c>
      <c r="B77" s="43" t="s">
        <v>650</v>
      </c>
      <c r="C77" s="703" t="s">
        <v>728</v>
      </c>
      <c r="D77" s="892"/>
      <c r="E77" s="892"/>
      <c r="F77" s="893"/>
    </row>
    <row r="78" spans="1:6" s="1" customFormat="1" ht="29.25" customHeight="1" x14ac:dyDescent="0.2">
      <c r="A78" s="48">
        <v>5</v>
      </c>
      <c r="B78" s="43" t="s">
        <v>652</v>
      </c>
      <c r="C78" s="703" t="s">
        <v>729</v>
      </c>
      <c r="D78" s="892"/>
      <c r="E78" s="892"/>
      <c r="F78" s="893"/>
    </row>
    <row r="79" spans="1:6" s="1" customFormat="1" ht="101.25" customHeight="1" x14ac:dyDescent="0.2">
      <c r="A79" s="48">
        <v>5</v>
      </c>
      <c r="B79" s="43" t="s">
        <v>654</v>
      </c>
      <c r="C79" s="703" t="s">
        <v>730</v>
      </c>
      <c r="D79" s="892"/>
      <c r="E79" s="892"/>
      <c r="F79" s="893"/>
    </row>
    <row r="80" spans="1:6" s="1" customFormat="1" ht="61.5" customHeight="1" x14ac:dyDescent="0.2">
      <c r="A80" s="48">
        <v>5</v>
      </c>
      <c r="B80" s="43" t="s">
        <v>656</v>
      </c>
      <c r="C80" s="703" t="s">
        <v>731</v>
      </c>
      <c r="D80" s="892"/>
      <c r="E80" s="892"/>
      <c r="F80" s="893"/>
    </row>
    <row r="81" spans="1:6" s="1" customFormat="1" ht="30" customHeight="1" x14ac:dyDescent="0.2">
      <c r="A81" s="48">
        <v>5</v>
      </c>
      <c r="B81" s="43" t="s">
        <v>658</v>
      </c>
      <c r="C81" s="703" t="s">
        <v>732</v>
      </c>
      <c r="D81" s="892"/>
      <c r="E81" s="892"/>
      <c r="F81" s="893"/>
    </row>
    <row r="82" spans="1:6" s="1" customFormat="1" ht="14.25" customHeight="1" x14ac:dyDescent="0.2">
      <c r="A82" s="48">
        <v>5</v>
      </c>
      <c r="B82" s="43" t="s">
        <v>659</v>
      </c>
      <c r="C82" s="703" t="s">
        <v>733</v>
      </c>
      <c r="D82" s="892"/>
      <c r="E82" s="892"/>
      <c r="F82" s="893"/>
    </row>
    <row r="83" spans="1:6" s="1" customFormat="1" ht="14.25" customHeight="1" x14ac:dyDescent="0.2">
      <c r="A83" s="48"/>
      <c r="B83" s="43" t="s">
        <v>661</v>
      </c>
      <c r="C83" s="703" t="s">
        <v>734</v>
      </c>
      <c r="D83" s="892"/>
      <c r="E83" s="892"/>
      <c r="F83" s="893"/>
    </row>
    <row r="84" spans="1:6" s="1" customFormat="1" ht="14.25" customHeight="1" x14ac:dyDescent="0.2">
      <c r="A84" s="48">
        <v>5</v>
      </c>
      <c r="B84" s="43" t="s">
        <v>663</v>
      </c>
      <c r="C84" s="703" t="s">
        <v>735</v>
      </c>
      <c r="D84" s="892"/>
      <c r="E84" s="892"/>
      <c r="F84" s="893"/>
    </row>
    <row r="85" spans="1:6" s="1" customFormat="1" ht="14.25" x14ac:dyDescent="0.2">
      <c r="A85" s="48">
        <v>5</v>
      </c>
      <c r="B85" s="59"/>
      <c r="C85" s="43" t="s">
        <v>676</v>
      </c>
      <c r="D85" s="704" t="s">
        <v>736</v>
      </c>
      <c r="E85" s="892"/>
      <c r="F85" s="893"/>
    </row>
    <row r="86" spans="1:6" s="1" customFormat="1" ht="14.25" x14ac:dyDescent="0.2">
      <c r="A86" s="48">
        <v>5</v>
      </c>
      <c r="B86" s="59"/>
      <c r="C86" s="43" t="s">
        <v>678</v>
      </c>
      <c r="D86" s="704" t="s">
        <v>737</v>
      </c>
      <c r="E86" s="892"/>
      <c r="F86" s="893"/>
    </row>
    <row r="87" spans="1:6" s="1" customFormat="1" ht="14.25" x14ac:dyDescent="0.2">
      <c r="A87" s="48">
        <v>5</v>
      </c>
      <c r="B87" s="59"/>
      <c r="C87" s="43" t="s">
        <v>686</v>
      </c>
      <c r="D87" s="704" t="s">
        <v>738</v>
      </c>
      <c r="E87" s="892"/>
      <c r="F87" s="893"/>
    </row>
    <row r="88" spans="1:6" s="1" customFormat="1" ht="14.25" x14ac:dyDescent="0.2">
      <c r="A88" s="48">
        <v>5</v>
      </c>
      <c r="B88" s="59"/>
      <c r="C88" s="43" t="s">
        <v>688</v>
      </c>
      <c r="D88" s="704" t="s">
        <v>739</v>
      </c>
      <c r="E88" s="892"/>
      <c r="F88" s="893"/>
    </row>
    <row r="89" spans="1:6" s="1" customFormat="1" ht="14.25" x14ac:dyDescent="0.2">
      <c r="A89" s="48">
        <v>5</v>
      </c>
      <c r="B89" s="59"/>
      <c r="C89" s="43" t="s">
        <v>690</v>
      </c>
      <c r="D89" s="704" t="s">
        <v>740</v>
      </c>
      <c r="E89" s="892"/>
      <c r="F89" s="893"/>
    </row>
    <row r="90" spans="1:6" s="1" customFormat="1" ht="15.75" customHeight="1" x14ac:dyDescent="0.2">
      <c r="A90" s="48">
        <v>5</v>
      </c>
      <c r="B90" s="59"/>
      <c r="C90" s="43" t="s">
        <v>692</v>
      </c>
      <c r="D90" s="704" t="s">
        <v>741</v>
      </c>
      <c r="E90" s="892"/>
      <c r="F90" s="893"/>
    </row>
    <row r="91" spans="1:6" s="1" customFormat="1" ht="32.25" customHeight="1" x14ac:dyDescent="0.2">
      <c r="A91" s="48">
        <v>5</v>
      </c>
      <c r="B91" s="59"/>
      <c r="C91" s="43" t="s">
        <v>694</v>
      </c>
      <c r="D91" s="704" t="s">
        <v>742</v>
      </c>
      <c r="E91" s="892"/>
      <c r="F91" s="893"/>
    </row>
    <row r="92" spans="1:6" s="1" customFormat="1" ht="17.25" customHeight="1" x14ac:dyDescent="0.2">
      <c r="A92" s="48"/>
      <c r="B92" s="534" t="s">
        <v>665</v>
      </c>
      <c r="C92" s="703" t="s">
        <v>743</v>
      </c>
      <c r="D92" s="892"/>
      <c r="E92" s="892"/>
      <c r="F92" s="893"/>
    </row>
    <row r="93" spans="1:6" s="1" customFormat="1" ht="14.25" customHeight="1" x14ac:dyDescent="0.2">
      <c r="A93" s="418" t="s">
        <v>707</v>
      </c>
      <c r="B93" s="533"/>
      <c r="C93" s="533"/>
      <c r="D93" s="533"/>
      <c r="E93" s="533"/>
      <c r="F93" s="419"/>
    </row>
    <row r="94" spans="1:6" s="1" customFormat="1" ht="15" customHeight="1" x14ac:dyDescent="0.2">
      <c r="A94" s="62">
        <v>6</v>
      </c>
      <c r="B94" s="897" t="s">
        <v>744</v>
      </c>
      <c r="C94" s="892"/>
      <c r="D94" s="892"/>
      <c r="E94" s="892"/>
      <c r="F94" s="893"/>
    </row>
    <row r="95" spans="1:6" s="1" customFormat="1" ht="34.5" customHeight="1" x14ac:dyDescent="0.2">
      <c r="A95" s="48">
        <v>6</v>
      </c>
      <c r="B95" s="43" t="s">
        <v>635</v>
      </c>
      <c r="C95" s="703" t="s">
        <v>745</v>
      </c>
      <c r="D95" s="892"/>
      <c r="E95" s="892"/>
      <c r="F95" s="893"/>
    </row>
    <row r="96" spans="1:6" s="1" customFormat="1" ht="75" customHeight="1" x14ac:dyDescent="0.2">
      <c r="A96" s="48">
        <v>6</v>
      </c>
      <c r="B96" s="43" t="s">
        <v>637</v>
      </c>
      <c r="C96" s="703" t="s">
        <v>746</v>
      </c>
      <c r="D96" s="892"/>
      <c r="E96" s="892"/>
      <c r="F96" s="893"/>
    </row>
    <row r="97" spans="1:6" s="1" customFormat="1" ht="14.25" customHeight="1" x14ac:dyDescent="0.2">
      <c r="A97" s="48">
        <v>6</v>
      </c>
      <c r="B97" s="43" t="s">
        <v>639</v>
      </c>
      <c r="C97" s="703" t="s">
        <v>747</v>
      </c>
      <c r="D97" s="892"/>
      <c r="E97" s="892"/>
      <c r="F97" s="893"/>
    </row>
    <row r="98" spans="1:6" s="1" customFormat="1" ht="32.25" customHeight="1" x14ac:dyDescent="0.2">
      <c r="A98" s="48">
        <v>6</v>
      </c>
      <c r="B98" s="43" t="s">
        <v>641</v>
      </c>
      <c r="C98" s="703" t="s">
        <v>748</v>
      </c>
      <c r="D98" s="892"/>
      <c r="E98" s="892"/>
      <c r="F98" s="893"/>
    </row>
    <row r="99" spans="1:6" s="1" customFormat="1" ht="32.25" customHeight="1" x14ac:dyDescent="0.2">
      <c r="A99" s="48"/>
      <c r="B99" s="43" t="s">
        <v>648</v>
      </c>
      <c r="C99" s="703" t="s">
        <v>749</v>
      </c>
      <c r="D99" s="892"/>
      <c r="E99" s="892"/>
      <c r="F99" s="893"/>
    </row>
    <row r="100" spans="1:6" s="1" customFormat="1" ht="32.25" customHeight="1" x14ac:dyDescent="0.2">
      <c r="A100" s="48"/>
      <c r="B100" s="43" t="s">
        <v>650</v>
      </c>
      <c r="C100" s="703" t="s">
        <v>750</v>
      </c>
      <c r="D100" s="892"/>
      <c r="E100" s="892"/>
      <c r="F100" s="893"/>
    </row>
    <row r="101" spans="1:6" s="1" customFormat="1" ht="14.25" customHeight="1" x14ac:dyDescent="0.2">
      <c r="A101" s="418" t="s">
        <v>707</v>
      </c>
      <c r="B101" s="533"/>
      <c r="C101" s="533"/>
      <c r="D101" s="533"/>
      <c r="E101" s="533"/>
      <c r="F101" s="419"/>
    </row>
    <row r="102" spans="1:6" s="1" customFormat="1" ht="15" customHeight="1" x14ac:dyDescent="0.2">
      <c r="A102" s="62">
        <v>7</v>
      </c>
      <c r="B102" s="897" t="s">
        <v>751</v>
      </c>
      <c r="C102" s="892"/>
      <c r="D102" s="892"/>
      <c r="E102" s="892"/>
      <c r="F102" s="893"/>
    </row>
    <row r="103" spans="1:6" s="1" customFormat="1" ht="44.25" customHeight="1" x14ac:dyDescent="0.2">
      <c r="A103" s="48">
        <v>7</v>
      </c>
      <c r="B103" s="59"/>
      <c r="C103" s="703" t="s">
        <v>752</v>
      </c>
      <c r="D103" s="892"/>
      <c r="E103" s="892"/>
      <c r="F103" s="893"/>
    </row>
    <row r="104" spans="1:6" s="1" customFormat="1" ht="14.25" customHeight="1" x14ac:dyDescent="0.2">
      <c r="A104" s="418" t="s">
        <v>707</v>
      </c>
      <c r="B104" s="533"/>
      <c r="C104" s="533"/>
      <c r="D104" s="533"/>
      <c r="E104" s="533"/>
      <c r="F104" s="419"/>
    </row>
    <row r="105" spans="1:6" s="1" customFormat="1" ht="15" customHeight="1" x14ac:dyDescent="0.2">
      <c r="A105" s="62">
        <v>8</v>
      </c>
      <c r="B105" s="897" t="s">
        <v>753</v>
      </c>
      <c r="C105" s="892"/>
      <c r="D105" s="892"/>
      <c r="E105" s="892"/>
      <c r="F105" s="893"/>
    </row>
    <row r="106" spans="1:6" s="1" customFormat="1" ht="42.75" customHeight="1" x14ac:dyDescent="0.2">
      <c r="A106" s="83">
        <v>8</v>
      </c>
      <c r="B106" s="43" t="s">
        <v>635</v>
      </c>
      <c r="C106" s="703" t="s">
        <v>754</v>
      </c>
      <c r="D106" s="892"/>
      <c r="E106" s="892"/>
      <c r="F106" s="893"/>
    </row>
    <row r="107" spans="1:6" s="1" customFormat="1" ht="29.25" customHeight="1" x14ac:dyDescent="0.2">
      <c r="A107" s="83">
        <v>8</v>
      </c>
      <c r="C107" s="43" t="s">
        <v>676</v>
      </c>
      <c r="D107" s="704" t="s">
        <v>755</v>
      </c>
      <c r="E107" s="892"/>
      <c r="F107" s="893"/>
    </row>
    <row r="108" spans="1:6" s="1" customFormat="1" ht="15" thickBot="1" x14ac:dyDescent="0.25">
      <c r="A108" s="83">
        <v>8</v>
      </c>
      <c r="B108" s="59"/>
      <c r="C108" s="897" t="s">
        <v>756</v>
      </c>
      <c r="D108" s="898"/>
      <c r="E108" s="898"/>
      <c r="F108" s="899"/>
    </row>
    <row r="109" spans="1:6" s="1" customFormat="1" ht="16.5" thickBot="1" x14ac:dyDescent="0.25">
      <c r="A109" s="83">
        <v>8</v>
      </c>
      <c r="B109" s="59"/>
      <c r="C109" s="59"/>
      <c r="D109" s="429" t="s">
        <v>757</v>
      </c>
      <c r="E109" s="430" t="s">
        <v>758</v>
      </c>
      <c r="F109" s="430" t="s">
        <v>759</v>
      </c>
    </row>
    <row r="110" spans="1:6" s="1" customFormat="1" ht="30.75" thickBot="1" x14ac:dyDescent="0.25">
      <c r="A110" s="83">
        <v>8</v>
      </c>
      <c r="B110" s="59"/>
      <c r="C110" s="59"/>
      <c r="D110" s="431" t="s">
        <v>760</v>
      </c>
      <c r="E110" s="433" t="s">
        <v>761</v>
      </c>
      <c r="F110" s="432">
        <v>200</v>
      </c>
    </row>
    <row r="111" spans="1:6" s="1" customFormat="1" ht="15.75" thickBot="1" x14ac:dyDescent="0.25">
      <c r="A111" s="83">
        <v>8</v>
      </c>
      <c r="B111" s="59"/>
      <c r="C111" s="59"/>
      <c r="D111" s="431" t="s">
        <v>762</v>
      </c>
      <c r="E111" s="434"/>
      <c r="F111" s="432">
        <v>300</v>
      </c>
    </row>
    <row r="112" spans="1:6" s="1" customFormat="1" ht="15.75" thickBot="1" x14ac:dyDescent="0.25">
      <c r="A112" s="83">
        <v>8</v>
      </c>
      <c r="B112" s="59"/>
      <c r="C112" s="59"/>
      <c r="D112" s="431" t="s">
        <v>763</v>
      </c>
      <c r="E112" s="431"/>
      <c r="F112" s="432">
        <v>100</v>
      </c>
    </row>
    <row r="113" spans="1:6" s="1" customFormat="1" ht="15" customHeight="1" x14ac:dyDescent="0.2">
      <c r="A113" s="83">
        <v>8</v>
      </c>
      <c r="B113" s="59"/>
      <c r="C113" s="43" t="s">
        <v>678</v>
      </c>
      <c r="D113" s="704" t="s">
        <v>764</v>
      </c>
      <c r="E113" s="892"/>
      <c r="F113" s="893"/>
    </row>
    <row r="114" spans="1:6" s="1" customFormat="1" ht="15" thickBot="1" x14ac:dyDescent="0.25">
      <c r="A114" s="83">
        <v>8</v>
      </c>
      <c r="B114" s="59"/>
      <c r="C114" s="894" t="s">
        <v>765</v>
      </c>
      <c r="D114" s="895"/>
      <c r="E114" s="895"/>
      <c r="F114" s="896"/>
    </row>
    <row r="115" spans="1:6" s="1" customFormat="1" ht="16.5" thickBot="1" x14ac:dyDescent="0.25">
      <c r="A115" s="83">
        <v>8</v>
      </c>
      <c r="B115" s="59"/>
      <c r="C115" s="534"/>
      <c r="D115" s="429" t="s">
        <v>766</v>
      </c>
      <c r="E115" s="430" t="s">
        <v>758</v>
      </c>
      <c r="F115" s="430" t="s">
        <v>759</v>
      </c>
    </row>
    <row r="116" spans="1:6" s="1" customFormat="1" ht="18.75" thickBot="1" x14ac:dyDescent="0.25">
      <c r="A116" s="83">
        <v>8</v>
      </c>
      <c r="B116" s="59"/>
      <c r="C116" s="534"/>
      <c r="D116" s="431" t="s">
        <v>767</v>
      </c>
      <c r="E116" s="432" t="s">
        <v>761</v>
      </c>
      <c r="F116" s="432">
        <v>100</v>
      </c>
    </row>
    <row r="117" spans="1:6" s="1" customFormat="1" ht="27.75" customHeight="1" x14ac:dyDescent="0.2">
      <c r="A117" s="83">
        <v>8</v>
      </c>
      <c r="B117" s="59"/>
      <c r="C117" s="43" t="s">
        <v>686</v>
      </c>
      <c r="D117" s="704" t="s">
        <v>768</v>
      </c>
      <c r="E117" s="892"/>
      <c r="F117" s="893"/>
    </row>
    <row r="118" spans="1:6" s="1" customFormat="1" ht="15" thickBot="1" x14ac:dyDescent="0.25">
      <c r="A118" s="83">
        <v>8</v>
      </c>
      <c r="B118" s="59"/>
      <c r="C118" s="894" t="s">
        <v>769</v>
      </c>
      <c r="D118" s="895"/>
      <c r="E118" s="895"/>
      <c r="F118" s="896"/>
    </row>
    <row r="119" spans="1:6" s="1" customFormat="1" ht="16.5" thickBot="1" x14ac:dyDescent="0.25">
      <c r="A119" s="83">
        <v>8</v>
      </c>
      <c r="B119" s="59"/>
      <c r="C119" s="535"/>
      <c r="D119" s="429" t="s">
        <v>766</v>
      </c>
      <c r="E119" s="430" t="s">
        <v>770</v>
      </c>
      <c r="F119" s="430" t="s">
        <v>771</v>
      </c>
    </row>
    <row r="120" spans="1:6" s="1" customFormat="1" ht="30.75" thickBot="1" x14ac:dyDescent="0.25">
      <c r="A120" s="83">
        <v>8</v>
      </c>
      <c r="B120" s="59"/>
      <c r="C120" s="535"/>
      <c r="D120" s="431" t="s">
        <v>760</v>
      </c>
      <c r="E120" s="433" t="s">
        <v>772</v>
      </c>
      <c r="F120" s="432">
        <v>200</v>
      </c>
    </row>
    <row r="121" spans="1:6" s="1" customFormat="1" ht="15.75" thickBot="1" x14ac:dyDescent="0.25">
      <c r="A121" s="83">
        <v>8</v>
      </c>
      <c r="B121" s="59"/>
      <c r="C121" s="535"/>
      <c r="D121" s="431" t="s">
        <v>762</v>
      </c>
      <c r="E121" s="435" t="s">
        <v>773</v>
      </c>
      <c r="F121" s="432">
        <v>200</v>
      </c>
    </row>
    <row r="122" spans="1:6" s="1" customFormat="1" ht="15.75" thickBot="1" x14ac:dyDescent="0.25">
      <c r="A122" s="83">
        <v>8</v>
      </c>
      <c r="B122" s="59"/>
      <c r="C122" s="535"/>
      <c r="D122" s="431" t="s">
        <v>763</v>
      </c>
      <c r="E122" s="436" t="s">
        <v>773</v>
      </c>
      <c r="F122" s="432">
        <v>100</v>
      </c>
    </row>
    <row r="123" spans="1:6" s="1" customFormat="1" ht="14.25" x14ac:dyDescent="0.2">
      <c r="A123" s="83">
        <v>8</v>
      </c>
      <c r="B123" s="59"/>
      <c r="C123" s="43" t="s">
        <v>688</v>
      </c>
      <c r="D123" s="704" t="s">
        <v>774</v>
      </c>
      <c r="E123" s="892"/>
      <c r="F123" s="893"/>
    </row>
    <row r="124" spans="1:6" s="1" customFormat="1" ht="15" thickBot="1" x14ac:dyDescent="0.25">
      <c r="A124" s="83">
        <v>8</v>
      </c>
      <c r="B124" s="59"/>
      <c r="C124" s="894" t="s">
        <v>775</v>
      </c>
      <c r="D124" s="895"/>
      <c r="E124" s="895"/>
      <c r="F124" s="896"/>
    </row>
    <row r="125" spans="1:6" s="1" customFormat="1" ht="16.5" thickBot="1" x14ac:dyDescent="0.25">
      <c r="A125" s="83">
        <v>8</v>
      </c>
      <c r="B125" s="59"/>
      <c r="C125" s="535"/>
      <c r="D125" s="429" t="s">
        <v>766</v>
      </c>
      <c r="E125" s="430" t="s">
        <v>758</v>
      </c>
      <c r="F125" s="430" t="s">
        <v>759</v>
      </c>
    </row>
    <row r="126" spans="1:6" s="1" customFormat="1" ht="18.75" thickBot="1" x14ac:dyDescent="0.25">
      <c r="A126" s="83">
        <v>8</v>
      </c>
      <c r="B126" s="59"/>
      <c r="C126" s="535"/>
      <c r="D126" s="431" t="s">
        <v>762</v>
      </c>
      <c r="E126" s="433" t="s">
        <v>772</v>
      </c>
      <c r="F126" s="432">
        <v>200</v>
      </c>
    </row>
    <row r="127" spans="1:6" s="1" customFormat="1" ht="15.75" thickBot="1" x14ac:dyDescent="0.25">
      <c r="A127" s="83">
        <v>8</v>
      </c>
      <c r="B127" s="59"/>
      <c r="C127" s="535"/>
      <c r="D127" s="431" t="s">
        <v>763</v>
      </c>
      <c r="E127" s="436" t="s">
        <v>773</v>
      </c>
      <c r="F127" s="432">
        <v>100</v>
      </c>
    </row>
    <row r="128" spans="1:6" s="1" customFormat="1" ht="33" customHeight="1" x14ac:dyDescent="0.2">
      <c r="A128" s="83">
        <v>8</v>
      </c>
      <c r="B128" s="1" t="s">
        <v>637</v>
      </c>
      <c r="C128" s="891" t="s">
        <v>776</v>
      </c>
      <c r="D128" s="892"/>
      <c r="E128" s="892"/>
      <c r="F128" s="893"/>
    </row>
    <row r="129" spans="1:6" s="1" customFormat="1" ht="32.25" customHeight="1" x14ac:dyDescent="0.2">
      <c r="A129" s="83">
        <v>8</v>
      </c>
      <c r="B129" s="1" t="s">
        <v>639</v>
      </c>
      <c r="C129" s="891" t="s">
        <v>777</v>
      </c>
      <c r="D129" s="892"/>
      <c r="E129" s="892"/>
      <c r="F129" s="893"/>
    </row>
    <row r="130" spans="1:6" s="1" customFormat="1" ht="43.5" customHeight="1" x14ac:dyDescent="0.2">
      <c r="A130" s="83">
        <v>8</v>
      </c>
      <c r="B130" s="1" t="s">
        <v>641</v>
      </c>
      <c r="C130" s="891" t="s">
        <v>778</v>
      </c>
      <c r="D130" s="892"/>
      <c r="E130" s="892"/>
      <c r="F130" s="893"/>
    </row>
    <row r="131" spans="1:6" s="1" customFormat="1" ht="29.25" customHeight="1" x14ac:dyDescent="0.2">
      <c r="A131" s="83">
        <v>8</v>
      </c>
      <c r="B131" s="1" t="s">
        <v>648</v>
      </c>
      <c r="C131" s="891" t="s">
        <v>779</v>
      </c>
      <c r="D131" s="892"/>
      <c r="E131" s="892"/>
      <c r="F131" s="893"/>
    </row>
    <row r="132" spans="1:6" s="1" customFormat="1" ht="42.75" customHeight="1" x14ac:dyDescent="0.2">
      <c r="A132" s="83">
        <v>8</v>
      </c>
      <c r="B132" s="536" t="s">
        <v>650</v>
      </c>
      <c r="C132" s="891" t="s">
        <v>780</v>
      </c>
      <c r="D132" s="892"/>
      <c r="E132" s="892"/>
      <c r="F132" s="893"/>
    </row>
    <row r="133" spans="1:6" s="1" customFormat="1" ht="30.75" customHeight="1" x14ac:dyDescent="0.2">
      <c r="A133" s="83">
        <v>8</v>
      </c>
      <c r="B133" s="536" t="s">
        <v>652</v>
      </c>
      <c r="C133" s="891" t="s">
        <v>781</v>
      </c>
      <c r="D133" s="892"/>
      <c r="E133" s="892"/>
      <c r="F133" s="893"/>
    </row>
    <row r="134" spans="1:6" s="1" customFormat="1" ht="14.25" x14ac:dyDescent="0.2">
      <c r="A134" s="83">
        <v>8</v>
      </c>
      <c r="B134" s="536"/>
      <c r="C134" s="536" t="s">
        <v>676</v>
      </c>
      <c r="D134" s="704" t="s">
        <v>782</v>
      </c>
      <c r="E134" s="892"/>
      <c r="F134" s="893"/>
    </row>
    <row r="135" spans="1:6" s="1" customFormat="1" ht="30" customHeight="1" x14ac:dyDescent="0.2">
      <c r="A135" s="83">
        <v>8</v>
      </c>
      <c r="B135" s="536"/>
      <c r="C135" s="536" t="s">
        <v>678</v>
      </c>
      <c r="D135" s="704" t="s">
        <v>783</v>
      </c>
      <c r="E135" s="892"/>
      <c r="F135" s="893"/>
    </row>
    <row r="136" spans="1:6" s="1" customFormat="1" ht="14.25" x14ac:dyDescent="0.2">
      <c r="A136" s="83">
        <v>8</v>
      </c>
      <c r="B136" s="536"/>
      <c r="C136" s="536" t="s">
        <v>686</v>
      </c>
      <c r="D136" s="704" t="s">
        <v>784</v>
      </c>
      <c r="E136" s="892"/>
      <c r="F136" s="893"/>
    </row>
    <row r="137" spans="1:6" s="1" customFormat="1" ht="58.5" customHeight="1" x14ac:dyDescent="0.2">
      <c r="A137" s="83">
        <v>8</v>
      </c>
      <c r="B137" s="536"/>
      <c r="C137" s="536" t="s">
        <v>688</v>
      </c>
      <c r="D137" s="704" t="s">
        <v>785</v>
      </c>
      <c r="E137" s="892"/>
      <c r="F137" s="893"/>
    </row>
    <row r="138" spans="1:6" s="1" customFormat="1" ht="66.75" customHeight="1" x14ac:dyDescent="0.2">
      <c r="A138" s="83">
        <v>8</v>
      </c>
      <c r="B138" s="536" t="s">
        <v>654</v>
      </c>
      <c r="C138" s="891" t="s">
        <v>786</v>
      </c>
      <c r="D138" s="892"/>
      <c r="E138" s="892"/>
      <c r="F138" s="893"/>
    </row>
    <row r="139" spans="1:6" s="1" customFormat="1" ht="14.25" x14ac:dyDescent="0.2">
      <c r="A139" s="83">
        <v>8</v>
      </c>
      <c r="B139" s="536" t="s">
        <v>656</v>
      </c>
      <c r="C139" s="891" t="s">
        <v>787</v>
      </c>
      <c r="D139" s="892"/>
      <c r="E139" s="892"/>
      <c r="F139" s="893"/>
    </row>
    <row r="140" spans="1:6" s="1" customFormat="1" ht="33" customHeight="1" x14ac:dyDescent="0.2">
      <c r="A140" s="83">
        <v>8</v>
      </c>
      <c r="B140" s="536"/>
      <c r="C140" s="536" t="s">
        <v>676</v>
      </c>
      <c r="D140" s="891" t="s">
        <v>788</v>
      </c>
      <c r="E140" s="892"/>
      <c r="F140" s="893"/>
    </row>
    <row r="141" spans="1:6" s="1" customFormat="1" ht="14.25" x14ac:dyDescent="0.2">
      <c r="A141" s="83">
        <v>8</v>
      </c>
      <c r="B141" s="536"/>
      <c r="C141" s="536" t="s">
        <v>678</v>
      </c>
      <c r="D141" s="891" t="s">
        <v>789</v>
      </c>
      <c r="E141" s="892"/>
      <c r="F141" s="893"/>
    </row>
    <row r="142" spans="1:6" s="1" customFormat="1" ht="14.25" x14ac:dyDescent="0.2">
      <c r="A142" s="83">
        <v>8</v>
      </c>
      <c r="B142" s="536"/>
      <c r="C142" s="536"/>
      <c r="D142" s="891" t="s">
        <v>790</v>
      </c>
      <c r="E142" s="892"/>
      <c r="F142" s="893"/>
    </row>
    <row r="143" spans="1:6" s="1" customFormat="1" ht="14.25" x14ac:dyDescent="0.2">
      <c r="A143" s="83">
        <v>8</v>
      </c>
      <c r="B143" s="536"/>
      <c r="C143" s="536" t="s">
        <v>686</v>
      </c>
      <c r="D143" s="891" t="s">
        <v>791</v>
      </c>
      <c r="E143" s="892"/>
      <c r="F143" s="893"/>
    </row>
    <row r="144" spans="1:6" s="1" customFormat="1" ht="71.25" customHeight="1" x14ac:dyDescent="0.2">
      <c r="A144" s="83">
        <v>8</v>
      </c>
      <c r="B144" s="536" t="s">
        <v>658</v>
      </c>
      <c r="C144" s="891" t="s">
        <v>792</v>
      </c>
      <c r="D144" s="892"/>
      <c r="E144" s="892"/>
      <c r="F144" s="893"/>
    </row>
    <row r="145" spans="1:6" s="1" customFormat="1" ht="14.25" x14ac:dyDescent="0.2">
      <c r="A145" s="83">
        <v>8</v>
      </c>
      <c r="B145" s="536"/>
      <c r="C145" s="536"/>
      <c r="D145" s="536"/>
      <c r="E145" s="536"/>
      <c r="F145" s="437"/>
    </row>
    <row r="146" spans="1:6" s="1" customFormat="1" ht="15" customHeight="1" x14ac:dyDescent="0.2">
      <c r="A146" s="426">
        <v>9</v>
      </c>
      <c r="B146" s="537" t="s">
        <v>793</v>
      </c>
      <c r="D146" s="537"/>
      <c r="E146" s="537"/>
      <c r="F146" s="427"/>
    </row>
    <row r="147" spans="1:6" s="1" customFormat="1" ht="30.75" customHeight="1" x14ac:dyDescent="0.2">
      <c r="A147" s="83">
        <v>9</v>
      </c>
      <c r="B147" s="1" t="s">
        <v>635</v>
      </c>
      <c r="C147" s="891" t="s">
        <v>794</v>
      </c>
      <c r="D147" s="892"/>
      <c r="E147" s="892"/>
      <c r="F147" s="893"/>
    </row>
    <row r="148" spans="1:6" s="1" customFormat="1" ht="14.25" x14ac:dyDescent="0.2">
      <c r="A148" s="83"/>
      <c r="C148" s="536"/>
      <c r="D148" s="1" t="s">
        <v>795</v>
      </c>
      <c r="F148" s="425"/>
    </row>
    <row r="149" spans="1:6" s="1" customFormat="1" ht="15" thickBot="1" x14ac:dyDescent="0.25">
      <c r="A149" s="83">
        <v>9</v>
      </c>
      <c r="B149" s="1" t="s">
        <v>796</v>
      </c>
      <c r="C149" s="536"/>
      <c r="F149" s="425"/>
    </row>
    <row r="150" spans="1:6" s="1" customFormat="1" ht="35.25" customHeight="1" thickBot="1" x14ac:dyDescent="0.25">
      <c r="A150" s="83">
        <v>9</v>
      </c>
      <c r="C150" s="536"/>
      <c r="D150" s="438" t="s">
        <v>797</v>
      </c>
      <c r="E150" s="439" t="s">
        <v>798</v>
      </c>
      <c r="F150" s="439" t="s">
        <v>799</v>
      </c>
    </row>
    <row r="151" spans="1:6" s="1" customFormat="1" ht="30.75" customHeight="1" thickBot="1" x14ac:dyDescent="0.25">
      <c r="A151" s="83">
        <v>9</v>
      </c>
      <c r="C151" s="536"/>
      <c r="D151" s="431" t="s">
        <v>800</v>
      </c>
      <c r="E151" s="440">
        <v>131400</v>
      </c>
      <c r="F151" s="432">
        <v>100</v>
      </c>
    </row>
    <row r="152" spans="1:6" s="1" customFormat="1" ht="30.75" customHeight="1" thickBot="1" x14ac:dyDescent="0.25">
      <c r="A152" s="83">
        <v>9</v>
      </c>
      <c r="C152" s="536"/>
      <c r="D152" s="431" t="s">
        <v>801</v>
      </c>
      <c r="E152" s="440">
        <v>262800</v>
      </c>
      <c r="F152" s="432">
        <v>200</v>
      </c>
    </row>
    <row r="153" spans="1:6" s="1" customFormat="1" ht="30" customHeight="1" x14ac:dyDescent="0.2">
      <c r="A153" s="83">
        <v>9</v>
      </c>
      <c r="B153" s="1" t="s">
        <v>637</v>
      </c>
      <c r="C153" s="891" t="s">
        <v>802</v>
      </c>
      <c r="D153" s="892"/>
      <c r="E153" s="892"/>
      <c r="F153" s="893"/>
    </row>
    <row r="154" spans="1:6" s="1" customFormat="1" ht="14.25" x14ac:dyDescent="0.2">
      <c r="A154" s="83">
        <v>9</v>
      </c>
      <c r="B154" s="1" t="s">
        <v>639</v>
      </c>
      <c r="C154" s="891" t="s">
        <v>803</v>
      </c>
      <c r="D154" s="892"/>
      <c r="E154" s="892"/>
      <c r="F154" s="893"/>
    </row>
    <row r="155" spans="1:6" s="1" customFormat="1" ht="14.25" x14ac:dyDescent="0.2">
      <c r="A155" s="83">
        <v>9</v>
      </c>
      <c r="B155" s="538"/>
      <c r="C155" s="536" t="s">
        <v>676</v>
      </c>
      <c r="D155" s="891" t="s">
        <v>804</v>
      </c>
      <c r="E155" s="892"/>
      <c r="F155" s="893"/>
    </row>
    <row r="156" spans="1:6" s="1" customFormat="1" ht="14.25" x14ac:dyDescent="0.2">
      <c r="A156" s="83">
        <v>9</v>
      </c>
      <c r="B156" s="538"/>
      <c r="C156" s="536" t="s">
        <v>678</v>
      </c>
      <c r="D156" s="891" t="s">
        <v>805</v>
      </c>
      <c r="E156" s="892"/>
      <c r="F156" s="893"/>
    </row>
    <row r="157" spans="1:6" s="1" customFormat="1" ht="14.25" x14ac:dyDescent="0.2">
      <c r="A157" s="83">
        <v>9</v>
      </c>
      <c r="B157" s="538"/>
      <c r="C157" s="536" t="s">
        <v>686</v>
      </c>
      <c r="D157" s="891" t="s">
        <v>806</v>
      </c>
      <c r="E157" s="892"/>
      <c r="F157" s="893"/>
    </row>
    <row r="158" spans="1:6" s="1" customFormat="1" ht="29.25" customHeight="1" x14ac:dyDescent="0.2">
      <c r="A158" s="83">
        <v>9</v>
      </c>
      <c r="B158" s="536" t="s">
        <v>641</v>
      </c>
      <c r="C158" s="891" t="s">
        <v>807</v>
      </c>
      <c r="D158" s="892"/>
      <c r="E158" s="892"/>
      <c r="F158" s="893"/>
    </row>
    <row r="159" spans="1:6" s="1" customFormat="1" ht="27" customHeight="1" x14ac:dyDescent="0.2">
      <c r="A159" s="83">
        <v>9</v>
      </c>
      <c r="B159" s="536" t="s">
        <v>648</v>
      </c>
      <c r="C159" s="891" t="s">
        <v>808</v>
      </c>
      <c r="D159" s="892"/>
      <c r="E159" s="892"/>
      <c r="F159" s="893"/>
    </row>
    <row r="160" spans="1:6" s="1" customFormat="1" ht="14.25" x14ac:dyDescent="0.2">
      <c r="A160" s="83">
        <v>9</v>
      </c>
      <c r="B160" s="536"/>
      <c r="C160" s="536" t="s">
        <v>676</v>
      </c>
      <c r="D160" s="891" t="s">
        <v>809</v>
      </c>
      <c r="E160" s="892"/>
      <c r="F160" s="893"/>
    </row>
    <row r="161" spans="1:6" s="1" customFormat="1" ht="14.25" x14ac:dyDescent="0.2">
      <c r="A161" s="83">
        <v>9</v>
      </c>
      <c r="B161" s="536"/>
      <c r="C161" s="536" t="s">
        <v>678</v>
      </c>
      <c r="D161" s="891" t="s">
        <v>810</v>
      </c>
      <c r="E161" s="892"/>
      <c r="F161" s="893"/>
    </row>
    <row r="162" spans="1:6" s="1" customFormat="1" ht="14.25" x14ac:dyDescent="0.2">
      <c r="A162" s="83">
        <v>9</v>
      </c>
      <c r="B162" s="536"/>
      <c r="C162" s="536"/>
      <c r="D162" s="536"/>
      <c r="E162" s="536"/>
      <c r="F162" s="425"/>
    </row>
    <row r="163" spans="1:6" s="1" customFormat="1" ht="15" customHeight="1" x14ac:dyDescent="0.2">
      <c r="A163" s="426">
        <v>10</v>
      </c>
      <c r="B163" s="537" t="s">
        <v>811</v>
      </c>
      <c r="D163" s="537"/>
      <c r="E163" s="537"/>
      <c r="F163" s="427"/>
    </row>
    <row r="164" spans="1:6" s="1" customFormat="1" ht="57.75" customHeight="1" x14ac:dyDescent="0.2">
      <c r="A164" s="83">
        <v>10</v>
      </c>
      <c r="B164" s="1" t="s">
        <v>635</v>
      </c>
      <c r="C164" s="891" t="s">
        <v>392</v>
      </c>
      <c r="D164" s="892"/>
      <c r="E164" s="892"/>
      <c r="F164" s="893"/>
    </row>
    <row r="165" spans="1:6" s="1" customFormat="1" ht="30.75" customHeight="1" x14ac:dyDescent="0.2">
      <c r="A165" s="83">
        <v>10</v>
      </c>
      <c r="B165" s="538"/>
      <c r="C165" s="536" t="s">
        <v>676</v>
      </c>
      <c r="D165" s="891" t="s">
        <v>812</v>
      </c>
      <c r="E165" s="892"/>
      <c r="F165" s="893"/>
    </row>
    <row r="166" spans="1:6" s="1" customFormat="1" ht="30" customHeight="1" x14ac:dyDescent="0.2">
      <c r="A166" s="83">
        <v>10</v>
      </c>
      <c r="B166" s="536"/>
      <c r="C166" s="536" t="s">
        <v>678</v>
      </c>
      <c r="D166" s="891" t="s">
        <v>813</v>
      </c>
      <c r="E166" s="892"/>
      <c r="F166" s="893"/>
    </row>
    <row r="167" spans="1:6" s="1" customFormat="1" ht="30" customHeight="1" x14ac:dyDescent="0.2">
      <c r="A167" s="83">
        <v>10</v>
      </c>
      <c r="B167" s="536" t="s">
        <v>637</v>
      </c>
      <c r="C167" s="891" t="s">
        <v>814</v>
      </c>
      <c r="D167" s="892"/>
      <c r="E167" s="892"/>
      <c r="F167" s="893"/>
    </row>
    <row r="168" spans="1:6" s="1" customFormat="1" ht="14.25" x14ac:dyDescent="0.2">
      <c r="A168" s="83"/>
      <c r="B168" s="536"/>
      <c r="C168" s="536" t="s">
        <v>676</v>
      </c>
      <c r="D168" s="891" t="s">
        <v>815</v>
      </c>
      <c r="E168" s="892"/>
      <c r="F168" s="893"/>
    </row>
    <row r="169" spans="1:6" s="1" customFormat="1" ht="27.75" customHeight="1" x14ac:dyDescent="0.2">
      <c r="A169" s="83">
        <v>10</v>
      </c>
      <c r="B169" s="536"/>
      <c r="C169" s="536" t="s">
        <v>678</v>
      </c>
      <c r="D169" s="891" t="s">
        <v>816</v>
      </c>
      <c r="E169" s="892"/>
      <c r="F169" s="893"/>
    </row>
    <row r="170" spans="1:6" s="1" customFormat="1" ht="14.25" x14ac:dyDescent="0.2">
      <c r="A170" s="83">
        <v>10</v>
      </c>
      <c r="B170" s="536"/>
      <c r="C170" s="536" t="s">
        <v>686</v>
      </c>
      <c r="D170" s="891" t="s">
        <v>817</v>
      </c>
      <c r="E170" s="892"/>
      <c r="F170" s="893"/>
    </row>
    <row r="171" spans="1:6" s="1" customFormat="1" ht="14.25" x14ac:dyDescent="0.2">
      <c r="A171" s="83">
        <v>10</v>
      </c>
      <c r="B171" s="536"/>
      <c r="C171" s="536" t="s">
        <v>688</v>
      </c>
      <c r="D171" s="891" t="s">
        <v>818</v>
      </c>
      <c r="E171" s="892"/>
      <c r="F171" s="893"/>
    </row>
    <row r="172" spans="1:6" s="1" customFormat="1" ht="27.75" customHeight="1" x14ac:dyDescent="0.2">
      <c r="A172" s="83">
        <v>10</v>
      </c>
      <c r="B172" s="536"/>
      <c r="C172" s="536" t="s">
        <v>690</v>
      </c>
      <c r="D172" s="891" t="s">
        <v>819</v>
      </c>
      <c r="E172" s="892"/>
      <c r="F172" s="893"/>
    </row>
    <row r="173" spans="1:6" s="1" customFormat="1" ht="14.25" x14ac:dyDescent="0.2">
      <c r="A173" s="83">
        <v>10</v>
      </c>
      <c r="B173" s="536"/>
      <c r="C173" s="536" t="s">
        <v>692</v>
      </c>
      <c r="D173" s="891" t="s">
        <v>820</v>
      </c>
      <c r="E173" s="892"/>
      <c r="F173" s="893"/>
    </row>
    <row r="174" spans="1:6" s="1" customFormat="1" ht="29.25" customHeight="1" x14ac:dyDescent="0.2">
      <c r="A174" s="83">
        <v>10</v>
      </c>
      <c r="B174" s="536"/>
      <c r="C174" s="536" t="s">
        <v>694</v>
      </c>
      <c r="D174" s="891" t="s">
        <v>821</v>
      </c>
      <c r="E174" s="892"/>
      <c r="F174" s="893"/>
    </row>
    <row r="175" spans="1:6" s="1" customFormat="1" ht="14.25" x14ac:dyDescent="0.2">
      <c r="A175" s="83">
        <v>10</v>
      </c>
      <c r="B175" s="536"/>
      <c r="C175" s="536" t="s">
        <v>696</v>
      </c>
      <c r="D175" s="891" t="s">
        <v>822</v>
      </c>
      <c r="E175" s="892"/>
      <c r="F175" s="893"/>
    </row>
    <row r="176" spans="1:6" s="1" customFormat="1" ht="14.25" x14ac:dyDescent="0.2">
      <c r="A176" s="83">
        <v>10</v>
      </c>
      <c r="B176" s="536"/>
      <c r="C176" s="536" t="s">
        <v>698</v>
      </c>
      <c r="D176" s="891" t="s">
        <v>823</v>
      </c>
      <c r="E176" s="892"/>
      <c r="F176" s="893"/>
    </row>
    <row r="177" spans="1:6" s="1" customFormat="1" ht="46.5" customHeight="1" x14ac:dyDescent="0.2">
      <c r="A177" s="83">
        <v>10</v>
      </c>
      <c r="B177" s="536"/>
      <c r="C177" s="536" t="s">
        <v>700</v>
      </c>
      <c r="D177" s="891" t="s">
        <v>824</v>
      </c>
      <c r="E177" s="892"/>
      <c r="F177" s="893"/>
    </row>
    <row r="178" spans="1:6" s="1" customFormat="1" ht="27.75" customHeight="1" x14ac:dyDescent="0.2">
      <c r="A178" s="83">
        <v>10</v>
      </c>
      <c r="B178" s="536"/>
      <c r="C178" s="536" t="s">
        <v>702</v>
      </c>
      <c r="D178" s="891" t="s">
        <v>825</v>
      </c>
      <c r="E178" s="892"/>
      <c r="F178" s="893"/>
    </row>
    <row r="179" spans="1:6" s="1" customFormat="1" ht="30.75" customHeight="1" x14ac:dyDescent="0.2">
      <c r="A179" s="83">
        <v>10</v>
      </c>
      <c r="B179" s="536" t="s">
        <v>639</v>
      </c>
      <c r="C179" s="891" t="s">
        <v>826</v>
      </c>
      <c r="D179" s="892"/>
      <c r="E179" s="892"/>
      <c r="F179" s="893"/>
    </row>
    <row r="180" spans="1:6" s="1" customFormat="1" ht="15" thickBot="1" x14ac:dyDescent="0.25">
      <c r="A180" s="428">
        <v>10</v>
      </c>
      <c r="B180" s="441"/>
      <c r="C180" s="441"/>
      <c r="D180" s="441"/>
      <c r="E180" s="441"/>
      <c r="F180" s="442"/>
    </row>
    <row r="181" spans="1:6" s="1" customFormat="1" ht="14.25" customHeight="1" x14ac:dyDescent="0.2">
      <c r="A181" s="905" t="s">
        <v>827</v>
      </c>
      <c r="B181" s="905"/>
      <c r="C181" s="905"/>
      <c r="D181" s="905"/>
      <c r="E181" s="905"/>
      <c r="F181" s="905"/>
    </row>
  </sheetData>
  <sheetProtection algorithmName="SHA-512" hashValue="LucAJbuQd4IKftlXP8J5FlHbx1ocg57stb3wnJ2HbvVswnmTwpdZkzU5b7eggxwvI/C6/hDejUNL64p/8kkDyg==" saltValue="lV2m4A3iWcdp3SqtzjgSCw==" spinCount="100000" sheet="1" objects="1" scenarios="1" formatColumns="0" formatRows="0" autoFilter="0"/>
  <mergeCells count="149">
    <mergeCell ref="A181:F181"/>
    <mergeCell ref="A1:F1"/>
    <mergeCell ref="C103:F103"/>
    <mergeCell ref="C106:F106"/>
    <mergeCell ref="B102:F102"/>
    <mergeCell ref="B105:F105"/>
    <mergeCell ref="B28:F28"/>
    <mergeCell ref="D35:F35"/>
    <mergeCell ref="D36:F36"/>
    <mergeCell ref="C29:F29"/>
    <mergeCell ref="C30:F30"/>
    <mergeCell ref="C31:F31"/>
    <mergeCell ref="C32:F32"/>
    <mergeCell ref="C33:F33"/>
    <mergeCell ref="C34:F34"/>
    <mergeCell ref="C37:F37"/>
    <mergeCell ref="C38:F38"/>
    <mergeCell ref="A4:F4"/>
    <mergeCell ref="C25:F25"/>
    <mergeCell ref="C26:F26"/>
    <mergeCell ref="C17:F17"/>
    <mergeCell ref="C18:F18"/>
    <mergeCell ref="C19:F19"/>
    <mergeCell ref="C20:F20"/>
    <mergeCell ref="C21:F21"/>
    <mergeCell ref="C12:F12"/>
    <mergeCell ref="C13:F13"/>
    <mergeCell ref="C14:F14"/>
    <mergeCell ref="C15:F15"/>
    <mergeCell ref="C16:F16"/>
    <mergeCell ref="B11:F11"/>
    <mergeCell ref="B5:F5"/>
    <mergeCell ref="C6:F6"/>
    <mergeCell ref="C7:F7"/>
    <mergeCell ref="C8:F8"/>
    <mergeCell ref="C9:F9"/>
    <mergeCell ref="C22:F22"/>
    <mergeCell ref="C23:F23"/>
    <mergeCell ref="C24:F24"/>
    <mergeCell ref="D44:F44"/>
    <mergeCell ref="D45:F45"/>
    <mergeCell ref="D46:F46"/>
    <mergeCell ref="D47:F47"/>
    <mergeCell ref="D48:F48"/>
    <mergeCell ref="C39:F39"/>
    <mergeCell ref="C40:F40"/>
    <mergeCell ref="D41:F41"/>
    <mergeCell ref="D42:F42"/>
    <mergeCell ref="D43:F43"/>
    <mergeCell ref="B55:F55"/>
    <mergeCell ref="B58:F58"/>
    <mergeCell ref="C59:F59"/>
    <mergeCell ref="C56:F56"/>
    <mergeCell ref="D49:F49"/>
    <mergeCell ref="D50:F50"/>
    <mergeCell ref="D51:F51"/>
    <mergeCell ref="D52:F52"/>
    <mergeCell ref="C53:F53"/>
    <mergeCell ref="C65:F65"/>
    <mergeCell ref="D66:F66"/>
    <mergeCell ref="D67:F67"/>
    <mergeCell ref="C68:F68"/>
    <mergeCell ref="D69:F69"/>
    <mergeCell ref="C60:F60"/>
    <mergeCell ref="D61:F61"/>
    <mergeCell ref="D62:F62"/>
    <mergeCell ref="D63:F63"/>
    <mergeCell ref="D64:F64"/>
    <mergeCell ref="D70:F70"/>
    <mergeCell ref="D71:F71"/>
    <mergeCell ref="C108:F108"/>
    <mergeCell ref="D107:F107"/>
    <mergeCell ref="D73:F73"/>
    <mergeCell ref="D74:F74"/>
    <mergeCell ref="D75:F75"/>
    <mergeCell ref="D76:F76"/>
    <mergeCell ref="C72:F72"/>
    <mergeCell ref="C77:F77"/>
    <mergeCell ref="C78:F78"/>
    <mergeCell ref="C79:F79"/>
    <mergeCell ref="C80:F80"/>
    <mergeCell ref="C81:F81"/>
    <mergeCell ref="C82:F82"/>
    <mergeCell ref="C83:F83"/>
    <mergeCell ref="D89:F89"/>
    <mergeCell ref="D90:F90"/>
    <mergeCell ref="D91:F91"/>
    <mergeCell ref="C92:F92"/>
    <mergeCell ref="C95:F95"/>
    <mergeCell ref="B94:F94"/>
    <mergeCell ref="C84:F84"/>
    <mergeCell ref="D85:F85"/>
    <mergeCell ref="D86:F86"/>
    <mergeCell ref="D87:F87"/>
    <mergeCell ref="D88:F88"/>
    <mergeCell ref="C114:F114"/>
    <mergeCell ref="D113:F113"/>
    <mergeCell ref="D117:F117"/>
    <mergeCell ref="C118:F118"/>
    <mergeCell ref="C96:F96"/>
    <mergeCell ref="C97:F97"/>
    <mergeCell ref="C98:F98"/>
    <mergeCell ref="C99:F99"/>
    <mergeCell ref="C100:F100"/>
    <mergeCell ref="D123:F123"/>
    <mergeCell ref="C124:F124"/>
    <mergeCell ref="C153:F153"/>
    <mergeCell ref="C154:F154"/>
    <mergeCell ref="C144:F144"/>
    <mergeCell ref="D143:F143"/>
    <mergeCell ref="D141:F141"/>
    <mergeCell ref="D140:F140"/>
    <mergeCell ref="D142:F142"/>
    <mergeCell ref="C139:F139"/>
    <mergeCell ref="C138:F138"/>
    <mergeCell ref="C133:F133"/>
    <mergeCell ref="C128:F128"/>
    <mergeCell ref="C129:F129"/>
    <mergeCell ref="C130:F130"/>
    <mergeCell ref="D137:F137"/>
    <mergeCell ref="C131:F131"/>
    <mergeCell ref="C132:F132"/>
    <mergeCell ref="D134:F134"/>
    <mergeCell ref="D135:F135"/>
    <mergeCell ref="D136:F136"/>
    <mergeCell ref="C147:F147"/>
    <mergeCell ref="D160:F160"/>
    <mergeCell ref="D161:F161"/>
    <mergeCell ref="D155:F155"/>
    <mergeCell ref="D156:F156"/>
    <mergeCell ref="D157:F157"/>
    <mergeCell ref="C158:F158"/>
    <mergeCell ref="C159:F159"/>
    <mergeCell ref="C179:F179"/>
    <mergeCell ref="C167:F167"/>
    <mergeCell ref="C164:F164"/>
    <mergeCell ref="D165:F165"/>
    <mergeCell ref="D166:F166"/>
    <mergeCell ref="D168:F168"/>
    <mergeCell ref="D169:F169"/>
    <mergeCell ref="D170:F170"/>
    <mergeCell ref="D171:F171"/>
    <mergeCell ref="D172:F172"/>
    <mergeCell ref="D173:F173"/>
    <mergeCell ref="D174:F174"/>
    <mergeCell ref="D175:F175"/>
    <mergeCell ref="D176:F176"/>
    <mergeCell ref="D177:F177"/>
    <mergeCell ref="D178:F178"/>
  </mergeCells>
  <hyperlinks>
    <hyperlink ref="A2" location="Copies!A1" display="Click here to go back to the Copies sheet." xr:uid="{522EBA2A-4B55-4DA0-ACF0-6675B69AA95E}"/>
    <hyperlink ref="A181:F181" location="'6008Checklist'!A1" display="Click here to go to the 6008Checklist sheet." xr:uid="{D51F7A64-F9E4-40A3-9BB4-C3F766E8ABE7}"/>
  </hyperlinks>
  <pageMargins left="0.25" right="0.25" top="1" bottom="0.5" header="0.3" footer="0.3"/>
  <pageSetup scale="80" fitToHeight="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0000000-000E-0000-0B00-000001000000}">
            <xm:f>'PI-1S-CBP'!$B$6= "I disagree"</xm:f>
            <x14:dxf>
              <font>
                <color theme="0" tint="-0.499984740745262"/>
              </font>
              <fill>
                <patternFill>
                  <bgColor theme="0" tint="-0.499984740745262"/>
                </patternFill>
              </fill>
            </x14:dxf>
          </x14:cfRule>
          <x14:cfRule type="expression" priority="1161" id="{F71A3885-D163-4520-B7F3-B12F398D89F9}">
            <xm:f>OR('PI-1S-CBP'!$B$11&lt;&gt;"",COUNTIF('6004Checklist'!$A$23,"*temporary*")&gt;0)</xm:f>
            <x14:dxf>
              <numFmt numFmtId="166" formatCode=";;;"/>
              <fill>
                <patternFill>
                  <bgColor theme="0" tint="-0.499984740745262"/>
                </patternFill>
              </fill>
            </x14:dxf>
          </x14:cfRule>
          <xm:sqref>A1:F146 A147:C147 A148:F180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rgb="FFDCDCFF"/>
  </sheetPr>
  <dimension ref="A1:D62"/>
  <sheetViews>
    <sheetView showGridLines="0" zoomScaleNormal="100" workbookViewId="0">
      <selection sqref="A1:D1"/>
    </sheetView>
  </sheetViews>
  <sheetFormatPr defaultColWidth="0" defaultRowHeight="12.75" zeroHeight="1" x14ac:dyDescent="0.2"/>
  <cols>
    <col min="1" max="1" width="5.7109375" customWidth="1"/>
    <col min="2" max="3" width="5.7109375" style="19" customWidth="1"/>
    <col min="4" max="4" width="135.7109375" style="19" customWidth="1"/>
    <col min="5" max="16384" width="9.140625" style="19" hidden="1"/>
  </cols>
  <sheetData>
    <row r="1" spans="1:4" ht="36" customHeight="1" thickBot="1" x14ac:dyDescent="0.25">
      <c r="A1" s="912" t="s">
        <v>44</v>
      </c>
      <c r="B1" s="913"/>
      <c r="C1" s="913"/>
      <c r="D1" s="914"/>
    </row>
    <row r="2" spans="1:4" ht="15" customHeight="1" thickBot="1" x14ac:dyDescent="0.25">
      <c r="A2" s="915" t="s">
        <v>828</v>
      </c>
      <c r="B2" s="916"/>
      <c r="C2" s="916"/>
      <c r="D2" s="916"/>
    </row>
    <row r="3" spans="1:4" ht="14.25" x14ac:dyDescent="0.2">
      <c r="A3" s="696" t="s">
        <v>829</v>
      </c>
      <c r="B3" s="697"/>
      <c r="C3" s="697"/>
      <c r="D3" s="698"/>
    </row>
    <row r="4" spans="1:4" s="1" customFormat="1" ht="30" customHeight="1" x14ac:dyDescent="0.2">
      <c r="A4" s="703" t="s">
        <v>830</v>
      </c>
      <c r="B4" s="703"/>
      <c r="C4" s="703"/>
      <c r="D4" s="703"/>
    </row>
    <row r="5" spans="1:4" ht="15" thickBot="1" x14ac:dyDescent="0.25">
      <c r="A5" s="751" t="s">
        <v>831</v>
      </c>
      <c r="B5" s="751"/>
      <c r="C5" s="751"/>
      <c r="D5" s="751"/>
    </row>
    <row r="6" spans="1:4" ht="12.75" customHeight="1" x14ac:dyDescent="0.2">
      <c r="A6" s="532">
        <v>1</v>
      </c>
      <c r="B6" s="902" t="s">
        <v>669</v>
      </c>
      <c r="C6" s="902"/>
      <c r="D6" s="911"/>
    </row>
    <row r="7" spans="1:4" ht="60.75" customHeight="1" x14ac:dyDescent="0.2">
      <c r="A7" s="48">
        <v>1</v>
      </c>
      <c r="B7" s="43" t="s">
        <v>635</v>
      </c>
      <c r="C7" s="703" t="s">
        <v>832</v>
      </c>
      <c r="D7" s="704"/>
    </row>
    <row r="8" spans="1:4" ht="14.25" x14ac:dyDescent="0.2">
      <c r="A8" s="48">
        <v>1</v>
      </c>
      <c r="B8" s="43" t="s">
        <v>637</v>
      </c>
      <c r="C8" s="703" t="s">
        <v>833</v>
      </c>
      <c r="D8" s="704"/>
    </row>
    <row r="9" spans="1:4" ht="57.75" customHeight="1" x14ac:dyDescent="0.2">
      <c r="A9" s="48">
        <v>1</v>
      </c>
      <c r="B9" s="43" t="s">
        <v>639</v>
      </c>
      <c r="C9" s="703" t="s">
        <v>834</v>
      </c>
      <c r="D9" s="704"/>
    </row>
    <row r="10" spans="1:4" ht="14.25" x14ac:dyDescent="0.2">
      <c r="A10" s="48">
        <v>1</v>
      </c>
      <c r="B10" s="43" t="s">
        <v>641</v>
      </c>
      <c r="C10" s="703" t="s">
        <v>835</v>
      </c>
      <c r="D10" s="704"/>
    </row>
    <row r="11" spans="1:4" ht="14.25" x14ac:dyDescent="0.2">
      <c r="A11" s="48">
        <v>1</v>
      </c>
      <c r="B11" s="43" t="s">
        <v>648</v>
      </c>
      <c r="C11" s="703" t="s">
        <v>836</v>
      </c>
      <c r="D11" s="704"/>
    </row>
    <row r="12" spans="1:4" ht="14.25" x14ac:dyDescent="0.2">
      <c r="A12" s="48">
        <v>1</v>
      </c>
      <c r="B12" s="59" t="s">
        <v>648</v>
      </c>
      <c r="C12" s="43" t="s">
        <v>676</v>
      </c>
      <c r="D12" s="60" t="s">
        <v>837</v>
      </c>
    </row>
    <row r="13" spans="1:4" ht="14.25" x14ac:dyDescent="0.2">
      <c r="A13" s="48">
        <v>1</v>
      </c>
      <c r="B13" s="59" t="s">
        <v>648</v>
      </c>
      <c r="C13" s="43" t="s">
        <v>678</v>
      </c>
      <c r="D13" s="60" t="s">
        <v>838</v>
      </c>
    </row>
    <row r="14" spans="1:4" ht="31.5" customHeight="1" x14ac:dyDescent="0.2">
      <c r="A14" s="48">
        <v>1</v>
      </c>
      <c r="B14" s="43" t="s">
        <v>650</v>
      </c>
      <c r="C14" s="703" t="s">
        <v>839</v>
      </c>
      <c r="D14" s="704"/>
    </row>
    <row r="15" spans="1:4" s="1" customFormat="1" ht="14.25" hidden="1" x14ac:dyDescent="0.2">
      <c r="A15" s="917" t="s">
        <v>707</v>
      </c>
      <c r="B15" s="918"/>
      <c r="C15" s="918"/>
      <c r="D15" s="919"/>
    </row>
    <row r="16" spans="1:4" ht="15" x14ac:dyDescent="0.2">
      <c r="A16" s="63">
        <v>2</v>
      </c>
      <c r="B16" s="897" t="s">
        <v>35</v>
      </c>
      <c r="C16" s="897"/>
      <c r="D16" s="920"/>
    </row>
    <row r="17" spans="1:4" ht="31.5" customHeight="1" x14ac:dyDescent="0.2">
      <c r="A17" s="48">
        <v>2</v>
      </c>
      <c r="B17" s="43" t="s">
        <v>635</v>
      </c>
      <c r="C17" s="703" t="s">
        <v>840</v>
      </c>
      <c r="D17" s="704"/>
    </row>
    <row r="18" spans="1:4" ht="14.25" x14ac:dyDescent="0.2">
      <c r="A18" s="48">
        <v>2</v>
      </c>
      <c r="B18" s="43" t="s">
        <v>637</v>
      </c>
      <c r="C18" s="703" t="s">
        <v>841</v>
      </c>
      <c r="D18" s="704"/>
    </row>
    <row r="19" spans="1:4" ht="14.25" x14ac:dyDescent="0.2">
      <c r="A19" s="48">
        <v>2</v>
      </c>
      <c r="B19" s="59" t="s">
        <v>637</v>
      </c>
      <c r="C19" s="43" t="s">
        <v>676</v>
      </c>
      <c r="D19" s="60" t="s">
        <v>842</v>
      </c>
    </row>
    <row r="20" spans="1:4" ht="14.25" x14ac:dyDescent="0.2">
      <c r="A20" s="48">
        <v>2</v>
      </c>
      <c r="B20" s="59" t="s">
        <v>637</v>
      </c>
      <c r="C20" s="43" t="s">
        <v>678</v>
      </c>
      <c r="D20" s="60" t="s">
        <v>843</v>
      </c>
    </row>
    <row r="21" spans="1:4" ht="77.25" customHeight="1" x14ac:dyDescent="0.2">
      <c r="A21" s="48">
        <v>2</v>
      </c>
      <c r="B21" s="43" t="s">
        <v>639</v>
      </c>
      <c r="C21" s="703" t="s">
        <v>844</v>
      </c>
      <c r="D21" s="704"/>
    </row>
    <row r="22" spans="1:4" ht="14.25" x14ac:dyDescent="0.2">
      <c r="A22" s="48">
        <v>2</v>
      </c>
      <c r="B22" s="43" t="s">
        <v>641</v>
      </c>
      <c r="C22" s="703" t="s">
        <v>845</v>
      </c>
      <c r="D22" s="704"/>
    </row>
    <row r="23" spans="1:4" ht="14.25" x14ac:dyDescent="0.2">
      <c r="A23" s="48">
        <v>2</v>
      </c>
      <c r="B23" s="59" t="s">
        <v>641</v>
      </c>
      <c r="C23" s="43" t="s">
        <v>676</v>
      </c>
      <c r="D23" s="60" t="s">
        <v>846</v>
      </c>
    </row>
    <row r="24" spans="1:4" ht="14.25" x14ac:dyDescent="0.2">
      <c r="A24" s="48">
        <v>2</v>
      </c>
      <c r="B24" s="59" t="s">
        <v>641</v>
      </c>
      <c r="C24" s="43" t="s">
        <v>678</v>
      </c>
      <c r="D24" s="60" t="s">
        <v>847</v>
      </c>
    </row>
    <row r="25" spans="1:4" ht="14.25" x14ac:dyDescent="0.2">
      <c r="A25" s="48">
        <v>2</v>
      </c>
      <c r="B25" s="59" t="s">
        <v>641</v>
      </c>
      <c r="C25" s="43" t="s">
        <v>686</v>
      </c>
      <c r="D25" s="60" t="s">
        <v>848</v>
      </c>
    </row>
    <row r="26" spans="1:4" ht="18" customHeight="1" x14ac:dyDescent="0.2">
      <c r="A26" s="48">
        <v>2</v>
      </c>
      <c r="B26" s="59" t="s">
        <v>641</v>
      </c>
      <c r="C26" s="43" t="s">
        <v>688</v>
      </c>
      <c r="D26" s="60" t="s">
        <v>849</v>
      </c>
    </row>
    <row r="27" spans="1:4" ht="30.75" customHeight="1" x14ac:dyDescent="0.2">
      <c r="A27" s="48">
        <v>2</v>
      </c>
      <c r="B27" s="59" t="s">
        <v>641</v>
      </c>
      <c r="C27" s="43" t="s">
        <v>690</v>
      </c>
      <c r="D27" s="60" t="s">
        <v>850</v>
      </c>
    </row>
    <row r="28" spans="1:4" ht="14.25" x14ac:dyDescent="0.2">
      <c r="A28" s="48">
        <v>2</v>
      </c>
      <c r="B28" s="43" t="s">
        <v>648</v>
      </c>
      <c r="C28" s="703" t="s">
        <v>851</v>
      </c>
      <c r="D28" s="704"/>
    </row>
    <row r="29" spans="1:4" ht="32.25" customHeight="1" x14ac:dyDescent="0.2">
      <c r="A29" s="48">
        <v>2</v>
      </c>
      <c r="B29" s="43" t="s">
        <v>650</v>
      </c>
      <c r="C29" s="703" t="s">
        <v>852</v>
      </c>
      <c r="D29" s="704"/>
    </row>
    <row r="30" spans="1:4" ht="30" customHeight="1" x14ac:dyDescent="0.2">
      <c r="A30" s="48">
        <v>2</v>
      </c>
      <c r="B30" s="43" t="s">
        <v>652</v>
      </c>
      <c r="C30" s="703" t="s">
        <v>853</v>
      </c>
      <c r="D30" s="704"/>
    </row>
    <row r="31" spans="1:4" ht="78" customHeight="1" x14ac:dyDescent="0.2">
      <c r="A31" s="48">
        <v>2</v>
      </c>
      <c r="B31" s="43" t="s">
        <v>654</v>
      </c>
      <c r="C31" s="703" t="s">
        <v>854</v>
      </c>
      <c r="D31" s="704"/>
    </row>
    <row r="32" spans="1:4" ht="58.5" customHeight="1" x14ac:dyDescent="0.2">
      <c r="A32" s="48">
        <v>2</v>
      </c>
      <c r="B32" s="43" t="s">
        <v>656</v>
      </c>
      <c r="C32" s="703" t="s">
        <v>855</v>
      </c>
      <c r="D32" s="704"/>
    </row>
    <row r="33" spans="1:4" ht="14.25" x14ac:dyDescent="0.2">
      <c r="A33" s="48">
        <v>2</v>
      </c>
      <c r="B33" s="59" t="s">
        <v>656</v>
      </c>
      <c r="C33" s="43" t="s">
        <v>676</v>
      </c>
      <c r="D33" s="60" t="s">
        <v>856</v>
      </c>
    </row>
    <row r="34" spans="1:4" ht="14.25" x14ac:dyDescent="0.2">
      <c r="A34" s="48">
        <v>2</v>
      </c>
      <c r="B34" s="59" t="s">
        <v>656</v>
      </c>
      <c r="C34" s="43" t="s">
        <v>678</v>
      </c>
      <c r="D34" s="60" t="s">
        <v>857</v>
      </c>
    </row>
    <row r="35" spans="1:4" s="1" customFormat="1" ht="14.25" x14ac:dyDescent="0.2">
      <c r="A35" s="917" t="s">
        <v>707</v>
      </c>
      <c r="B35" s="918"/>
      <c r="C35" s="918"/>
      <c r="D35" s="919"/>
    </row>
    <row r="36" spans="1:4" ht="15" x14ac:dyDescent="0.2">
      <c r="A36" s="63">
        <v>3</v>
      </c>
      <c r="B36" s="897" t="s">
        <v>858</v>
      </c>
      <c r="C36" s="897"/>
      <c r="D36" s="920"/>
    </row>
    <row r="37" spans="1:4" ht="15" x14ac:dyDescent="0.2">
      <c r="A37" s="44">
        <v>3</v>
      </c>
      <c r="B37" s="43" t="s">
        <v>635</v>
      </c>
      <c r="C37" s="703" t="s">
        <v>859</v>
      </c>
      <c r="D37" s="704"/>
    </row>
    <row r="38" spans="1:4" ht="15" x14ac:dyDescent="0.2">
      <c r="A38" s="44">
        <v>3</v>
      </c>
      <c r="B38" s="43" t="s">
        <v>637</v>
      </c>
      <c r="C38" s="703" t="s">
        <v>860</v>
      </c>
      <c r="D38" s="704"/>
    </row>
    <row r="39" spans="1:4" ht="31.5" customHeight="1" x14ac:dyDescent="0.2">
      <c r="A39" s="44">
        <v>3</v>
      </c>
      <c r="B39" s="59" t="s">
        <v>637</v>
      </c>
      <c r="C39" s="43" t="s">
        <v>676</v>
      </c>
      <c r="D39" s="60" t="s">
        <v>861</v>
      </c>
    </row>
    <row r="40" spans="1:4" ht="31.5" customHeight="1" x14ac:dyDescent="0.2">
      <c r="A40" s="44">
        <v>3</v>
      </c>
      <c r="B40" s="59" t="s">
        <v>637</v>
      </c>
      <c r="C40" s="43" t="s">
        <v>678</v>
      </c>
      <c r="D40" s="60" t="s">
        <v>862</v>
      </c>
    </row>
    <row r="41" spans="1:4" ht="43.5" customHeight="1" x14ac:dyDescent="0.2">
      <c r="A41" s="44">
        <v>3</v>
      </c>
      <c r="B41" s="59" t="s">
        <v>637</v>
      </c>
      <c r="C41" s="43" t="s">
        <v>686</v>
      </c>
      <c r="D41" s="60" t="s">
        <v>863</v>
      </c>
    </row>
    <row r="42" spans="1:4" ht="30" customHeight="1" x14ac:dyDescent="0.2">
      <c r="A42" s="44">
        <v>3</v>
      </c>
      <c r="B42" s="59" t="s">
        <v>637</v>
      </c>
      <c r="C42" s="43" t="s">
        <v>688</v>
      </c>
      <c r="D42" s="60" t="s">
        <v>864</v>
      </c>
    </row>
    <row r="43" spans="1:4" ht="15" x14ac:dyDescent="0.2">
      <c r="A43" s="44">
        <v>3</v>
      </c>
      <c r="B43" s="43" t="s">
        <v>639</v>
      </c>
      <c r="C43" s="703" t="s">
        <v>865</v>
      </c>
      <c r="D43" s="704"/>
    </row>
    <row r="44" spans="1:4" ht="29.25" customHeight="1" x14ac:dyDescent="0.2">
      <c r="A44" s="44">
        <v>3</v>
      </c>
      <c r="B44" s="59" t="s">
        <v>639</v>
      </c>
      <c r="C44" s="43" t="s">
        <v>676</v>
      </c>
      <c r="D44" s="45" t="s">
        <v>866</v>
      </c>
    </row>
    <row r="45" spans="1:4" ht="29.25" customHeight="1" x14ac:dyDescent="0.2">
      <c r="A45" s="44">
        <v>3</v>
      </c>
      <c r="B45" s="59" t="s">
        <v>639</v>
      </c>
      <c r="C45" s="43" t="s">
        <v>678</v>
      </c>
      <c r="D45" s="60" t="s">
        <v>867</v>
      </c>
    </row>
    <row r="46" spans="1:4" ht="15" x14ac:dyDescent="0.2">
      <c r="A46" s="44">
        <v>3</v>
      </c>
      <c r="B46" s="43" t="s">
        <v>641</v>
      </c>
      <c r="C46" s="703" t="s">
        <v>868</v>
      </c>
      <c r="D46" s="704"/>
    </row>
    <row r="47" spans="1:4" ht="31.5" customHeight="1" x14ac:dyDescent="0.2">
      <c r="A47" s="44">
        <v>3</v>
      </c>
      <c r="B47" s="59" t="s">
        <v>641</v>
      </c>
      <c r="C47" s="43" t="s">
        <v>676</v>
      </c>
      <c r="D47" s="60" t="s">
        <v>869</v>
      </c>
    </row>
    <row r="48" spans="1:4" ht="44.25" customHeight="1" x14ac:dyDescent="0.2">
      <c r="A48" s="44">
        <v>3</v>
      </c>
      <c r="B48" s="59" t="s">
        <v>641</v>
      </c>
      <c r="C48" s="43" t="s">
        <v>678</v>
      </c>
      <c r="D48" s="60" t="s">
        <v>870</v>
      </c>
    </row>
    <row r="49" spans="1:4" ht="30.75" customHeight="1" x14ac:dyDescent="0.2">
      <c r="A49" s="44">
        <v>3</v>
      </c>
      <c r="B49" s="43" t="s">
        <v>648</v>
      </c>
      <c r="C49" s="703" t="s">
        <v>871</v>
      </c>
      <c r="D49" s="704"/>
    </row>
    <row r="50" spans="1:4" ht="15" x14ac:dyDescent="0.2">
      <c r="A50" s="44">
        <v>3</v>
      </c>
      <c r="B50" s="43" t="s">
        <v>650</v>
      </c>
      <c r="C50" s="703" t="s">
        <v>872</v>
      </c>
      <c r="D50" s="704"/>
    </row>
    <row r="51" spans="1:4" ht="15" x14ac:dyDescent="0.2">
      <c r="A51" s="44">
        <v>3</v>
      </c>
      <c r="B51" s="43" t="s">
        <v>652</v>
      </c>
      <c r="C51" s="703" t="s">
        <v>873</v>
      </c>
      <c r="D51" s="704"/>
    </row>
    <row r="52" spans="1:4" ht="15" x14ac:dyDescent="0.2">
      <c r="A52" s="44">
        <v>3</v>
      </c>
      <c r="B52" s="43" t="s">
        <v>654</v>
      </c>
      <c r="C52" s="703" t="s">
        <v>874</v>
      </c>
      <c r="D52" s="704"/>
    </row>
    <row r="53" spans="1:4" ht="31.5" customHeight="1" x14ac:dyDescent="0.2">
      <c r="A53" s="44">
        <v>3</v>
      </c>
      <c r="B53" s="43" t="s">
        <v>656</v>
      </c>
      <c r="C53" s="703" t="s">
        <v>875</v>
      </c>
      <c r="D53" s="704"/>
    </row>
    <row r="54" spans="1:4" ht="31.5" customHeight="1" x14ac:dyDescent="0.2">
      <c r="A54" s="44">
        <v>3</v>
      </c>
      <c r="B54" s="43" t="s">
        <v>658</v>
      </c>
      <c r="C54" s="703" t="s">
        <v>876</v>
      </c>
      <c r="D54" s="704"/>
    </row>
    <row r="55" spans="1:4" ht="15" x14ac:dyDescent="0.2">
      <c r="A55" s="44">
        <v>3</v>
      </c>
      <c r="B55" s="43" t="s">
        <v>659</v>
      </c>
      <c r="C55" s="703" t="s">
        <v>877</v>
      </c>
      <c r="D55" s="704"/>
    </row>
    <row r="56" spans="1:4" ht="15" x14ac:dyDescent="0.2">
      <c r="A56" s="44">
        <v>3</v>
      </c>
      <c r="B56" s="59" t="s">
        <v>659</v>
      </c>
      <c r="C56" s="43" t="s">
        <v>676</v>
      </c>
      <c r="D56" s="60" t="s">
        <v>878</v>
      </c>
    </row>
    <row r="57" spans="1:4" ht="30.75" customHeight="1" x14ac:dyDescent="0.2">
      <c r="A57" s="44">
        <v>3</v>
      </c>
      <c r="B57" s="59" t="s">
        <v>659</v>
      </c>
      <c r="C57" s="43" t="s">
        <v>678</v>
      </c>
      <c r="D57" s="45" t="s">
        <v>879</v>
      </c>
    </row>
    <row r="58" spans="1:4" ht="42.75" customHeight="1" x14ac:dyDescent="0.2">
      <c r="A58" s="44">
        <v>3</v>
      </c>
      <c r="B58" s="59" t="s">
        <v>659</v>
      </c>
      <c r="C58" s="43" t="s">
        <v>686</v>
      </c>
      <c r="D58" s="60" t="s">
        <v>880</v>
      </c>
    </row>
    <row r="59" spans="1:4" ht="15" x14ac:dyDescent="0.2">
      <c r="A59" s="44">
        <v>3</v>
      </c>
      <c r="B59" s="43" t="s">
        <v>661</v>
      </c>
      <c r="C59" s="703" t="s">
        <v>881</v>
      </c>
      <c r="D59" s="704"/>
    </row>
    <row r="60" spans="1:4" ht="15" x14ac:dyDescent="0.2">
      <c r="A60" s="44">
        <v>3</v>
      </c>
      <c r="B60" s="59" t="s">
        <v>661</v>
      </c>
      <c r="C60" s="43" t="s">
        <v>676</v>
      </c>
      <c r="D60" s="60" t="s">
        <v>882</v>
      </c>
    </row>
    <row r="61" spans="1:4" ht="30.75" customHeight="1" thickBot="1" x14ac:dyDescent="0.25">
      <c r="A61" s="46">
        <v>3</v>
      </c>
      <c r="B61" s="47" t="s">
        <v>661</v>
      </c>
      <c r="C61" s="57" t="s">
        <v>678</v>
      </c>
      <c r="D61" s="58" t="s">
        <v>883</v>
      </c>
    </row>
    <row r="62" spans="1:4" ht="14.25" x14ac:dyDescent="0.2">
      <c r="A62" s="764" t="s">
        <v>884</v>
      </c>
      <c r="B62" s="764"/>
      <c r="C62" s="764"/>
      <c r="D62" s="764"/>
    </row>
  </sheetData>
  <sheetProtection algorithmName="SHA-512" hashValue="QWuy0KRGhDI05Plb8eDpDO0Xen4HzLYI9cMDTQRKRIjnyifEf05QxgTTo08pP/myagMyuVgs1t5h5kiGlKuZAw==" saltValue="tWiqUiEMzVQhvx0obl7J5g==" spinCount="100000" sheet="1" objects="1" scenarios="1" formatColumns="0" formatRows="0" autoFilter="0"/>
  <mergeCells count="38">
    <mergeCell ref="A15:D15"/>
    <mergeCell ref="A35:D35"/>
    <mergeCell ref="A62:D62"/>
    <mergeCell ref="C38:D38"/>
    <mergeCell ref="C46:D46"/>
    <mergeCell ref="C43:D43"/>
    <mergeCell ref="B16:D16"/>
    <mergeCell ref="C21:D21"/>
    <mergeCell ref="C22:D22"/>
    <mergeCell ref="C17:D17"/>
    <mergeCell ref="C18:D18"/>
    <mergeCell ref="C37:D37"/>
    <mergeCell ref="B36:D36"/>
    <mergeCell ref="C28:D28"/>
    <mergeCell ref="C29:D29"/>
    <mergeCell ref="C30:D30"/>
    <mergeCell ref="C31:D31"/>
    <mergeCell ref="C32:D32"/>
    <mergeCell ref="C59:D59"/>
    <mergeCell ref="C49:D49"/>
    <mergeCell ref="C50:D50"/>
    <mergeCell ref="C51:D51"/>
    <mergeCell ref="C52:D52"/>
    <mergeCell ref="C53:D53"/>
    <mergeCell ref="C54:D54"/>
    <mergeCell ref="C55:D55"/>
    <mergeCell ref="B6:D6"/>
    <mergeCell ref="A5:D5"/>
    <mergeCell ref="A1:D1"/>
    <mergeCell ref="A3:D3"/>
    <mergeCell ref="C8:D8"/>
    <mergeCell ref="A4:D4"/>
    <mergeCell ref="A2:D2"/>
    <mergeCell ref="C9:D9"/>
    <mergeCell ref="C10:D10"/>
    <mergeCell ref="C11:D11"/>
    <mergeCell ref="C14:D14"/>
    <mergeCell ref="C7:D7"/>
  </mergeCells>
  <conditionalFormatting sqref="A1:D1 A2 A3:D61">
    <cfRule type="expression" dxfId="3" priority="1083">
      <formula>#REF!&lt;&gt;""</formula>
    </cfRule>
  </conditionalFormatting>
  <hyperlinks>
    <hyperlink ref="A2" location="'6004Requirements'!A1" display="Click here to go back to the 6004Requirements sheet." xr:uid="{ACFE7C4A-19F4-4DC7-821D-7DF8F07C40EF}"/>
    <hyperlink ref="A62:D62" location="Cover!A1" display="End of workbook. Click here to return to Cover sheet." xr:uid="{43ED45BE-49B3-49B8-96F0-1506CE83DD8B}"/>
  </hyperlinks>
  <pageMargins left="0.25" right="0.25" top="1" bottom="0.5" header="0.3" footer="0.3"/>
  <pageSetup scale="7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extLst>
    <ext xmlns:x14="http://schemas.microsoft.com/office/spreadsheetml/2009/9/main" uri="{78C0D931-6437-407d-A8EE-F0AAD7539E65}">
      <x14:conditionalFormattings>
        <x14:conditionalFormatting xmlns:xm="http://schemas.microsoft.com/office/excel/2006/main">
          <x14:cfRule type="expression" priority="1" id="{00000000-000E-0000-0C00-000001000000}">
            <xm:f>'PI-1S-CBP'!$B$6= "I disagree"</xm:f>
            <x14:dxf>
              <font>
                <color theme="0" tint="-0.499984740745262"/>
              </font>
              <fill>
                <patternFill>
                  <bgColor theme="0" tint="-0.499984740745262"/>
                </patternFill>
              </fill>
            </x14:dxf>
          </x14:cfRule>
          <xm:sqref>A1:D1048576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theme="1"/>
  </sheetPr>
  <dimension ref="A1:Z277"/>
  <sheetViews>
    <sheetView zoomScaleNormal="100" workbookViewId="0">
      <selection activeCell="B3" sqref="B3"/>
    </sheetView>
  </sheetViews>
  <sheetFormatPr defaultRowHeight="12.75" x14ac:dyDescent="0.2"/>
  <cols>
    <col min="1" max="1" width="20.140625" customWidth="1"/>
    <col min="2" max="2" width="10.140625" bestFit="1" customWidth="1"/>
    <col min="3" max="6" width="10.140625" customWidth="1"/>
    <col min="7" max="7" width="10.140625" bestFit="1" customWidth="1"/>
    <col min="8" max="8" width="58.42578125" customWidth="1"/>
    <col min="9" max="9" width="7.85546875" bestFit="1" customWidth="1"/>
    <col min="10" max="10" width="17.5703125" bestFit="1" customWidth="1"/>
    <col min="11" max="11" width="64" customWidth="1"/>
    <col min="12" max="12" width="78.5703125" customWidth="1"/>
    <col min="13" max="13" width="19.85546875" customWidth="1"/>
    <col min="14" max="14" width="36.7109375" customWidth="1"/>
    <col min="15" max="15" width="24.42578125" customWidth="1"/>
    <col min="18" max="18" width="15.5703125" customWidth="1"/>
    <col min="20" max="20" width="11.28515625" bestFit="1" customWidth="1"/>
    <col min="21" max="21" width="16.140625" style="19" customWidth="1"/>
    <col min="23" max="23" width="10.28515625" customWidth="1"/>
  </cols>
  <sheetData>
    <row r="1" spans="1:26" ht="15" x14ac:dyDescent="0.25">
      <c r="A1" s="309" t="s">
        <v>885</v>
      </c>
      <c r="B1" t="s">
        <v>886</v>
      </c>
    </row>
    <row r="2" spans="1:26" ht="15" x14ac:dyDescent="0.25">
      <c r="A2" s="309" t="s">
        <v>887</v>
      </c>
      <c r="B2" s="89">
        <v>45315</v>
      </c>
    </row>
    <row r="3" spans="1:26" ht="15" x14ac:dyDescent="0.25">
      <c r="A3" s="309" t="s">
        <v>888</v>
      </c>
      <c r="B3" t="s">
        <v>889</v>
      </c>
    </row>
    <row r="4" spans="1:26" ht="15" x14ac:dyDescent="0.25">
      <c r="A4" s="309" t="s">
        <v>890</v>
      </c>
      <c r="B4" t="s">
        <v>891</v>
      </c>
    </row>
    <row r="5" spans="1:26" ht="14.25" x14ac:dyDescent="0.2">
      <c r="A5" s="310"/>
    </row>
    <row r="6" spans="1:26" ht="15" x14ac:dyDescent="0.25">
      <c r="A6" s="309" t="s">
        <v>892</v>
      </c>
      <c r="B6" t="s">
        <v>893</v>
      </c>
    </row>
    <row r="7" spans="1:26" ht="15" x14ac:dyDescent="0.25">
      <c r="A7" s="309" t="s">
        <v>894</v>
      </c>
    </row>
    <row r="8" spans="1:26" ht="15" x14ac:dyDescent="0.25">
      <c r="A8" s="309" t="s">
        <v>895</v>
      </c>
      <c r="B8" t="s">
        <v>896</v>
      </c>
    </row>
    <row r="9" spans="1:26" ht="15" x14ac:dyDescent="0.25">
      <c r="A9" s="309"/>
    </row>
    <row r="10" spans="1:26" ht="15" x14ac:dyDescent="0.25">
      <c r="A10" s="309"/>
    </row>
    <row r="11" spans="1:26" ht="15" x14ac:dyDescent="0.25">
      <c r="A11" s="309"/>
    </row>
    <row r="12" spans="1:26" ht="15" x14ac:dyDescent="0.25">
      <c r="A12" s="309"/>
    </row>
    <row r="13" spans="1:26" ht="15.75" thickBot="1" x14ac:dyDescent="0.3">
      <c r="A13" s="309"/>
    </row>
    <row r="14" spans="1:26" s="19" customFormat="1" ht="25.5" x14ac:dyDescent="0.2">
      <c r="A14" s="921"/>
      <c r="B14" s="922"/>
      <c r="C14" s="922"/>
      <c r="D14" s="922"/>
      <c r="E14" s="922"/>
      <c r="F14" s="922"/>
      <c r="G14" s="922"/>
      <c r="H14" s="922"/>
      <c r="I14" s="922"/>
      <c r="J14" s="922"/>
      <c r="K14" s="330" t="s">
        <v>147</v>
      </c>
      <c r="L14" s="329" t="s">
        <v>897</v>
      </c>
      <c r="M14" s="329" t="s">
        <v>898</v>
      </c>
      <c r="N14" s="19" t="s">
        <v>899</v>
      </c>
      <c r="O14" s="19" t="s">
        <v>900</v>
      </c>
      <c r="P14" s="923" t="s">
        <v>901</v>
      </c>
      <c r="Q14" s="924"/>
      <c r="R14" s="923" t="s">
        <v>902</v>
      </c>
      <c r="S14" s="924"/>
      <c r="T14" s="19" t="s">
        <v>903</v>
      </c>
      <c r="U14" s="19" t="s">
        <v>904</v>
      </c>
      <c r="V14" s="19" t="s">
        <v>905</v>
      </c>
      <c r="W14" s="19" t="s">
        <v>906</v>
      </c>
      <c r="Z14" s="19" t="s">
        <v>907</v>
      </c>
    </row>
    <row r="15" spans="1:26" ht="25.5" x14ac:dyDescent="0.2">
      <c r="A15" s="311" t="s">
        <v>908</v>
      </c>
      <c r="B15" s="312" t="s">
        <v>909</v>
      </c>
      <c r="C15" s="315" t="s">
        <v>910</v>
      </c>
      <c r="D15" s="315" t="s">
        <v>911</v>
      </c>
      <c r="E15" s="315" t="s">
        <v>912</v>
      </c>
      <c r="F15" s="315" t="s">
        <v>913</v>
      </c>
      <c r="G15" s="313" t="s">
        <v>914</v>
      </c>
      <c r="H15" s="314" t="s">
        <v>915</v>
      </c>
      <c r="I15" s="8" t="s">
        <v>916</v>
      </c>
      <c r="J15" s="328" t="s">
        <v>917</v>
      </c>
      <c r="K15" s="295" t="s">
        <v>918</v>
      </c>
      <c r="L15" s="332" t="s">
        <v>919</v>
      </c>
      <c r="M15" s="332" t="s">
        <v>920</v>
      </c>
      <c r="N15" s="334" t="s">
        <v>921</v>
      </c>
      <c r="O15" s="19" t="s">
        <v>922</v>
      </c>
      <c r="P15" s="67" t="s">
        <v>923</v>
      </c>
      <c r="Q15" s="68" t="str">
        <f>IF(AND('PI-1S-CBP'!B10="",'PI-1S-CBP'!B11=""),"No",IF(AND(OR('PI-1S-CBP'!B10="change of representations",'PI-1S-CBP'!B11="change of representations"),OR('PI-1S-CBP'!B16="",'PI-1S-CBP'!B16="No")),"No","Yes"))</f>
        <v>No</v>
      </c>
      <c r="R15" s="69" t="s">
        <v>924</v>
      </c>
      <c r="S15" s="68" t="str">
        <f>IF(OR('PI-1S-CBP'!B10="initial",'PI-1S-CBP'!B10="renewal",'PI-1S-CBP'!B10="Initial (move to new location)",'PI-1S-CBP'!B11="initial",'PI-1S-CBP'!B11="Initial (move to new location)",COUNTIF('PI-1S-CBP'!A26:B26,"*fee*")&gt;0),"Yes","No")</f>
        <v>No</v>
      </c>
      <c r="T15" s="74">
        <v>500</v>
      </c>
      <c r="U15" s="19" t="s">
        <v>232</v>
      </c>
      <c r="W15" t="s">
        <v>361</v>
      </c>
      <c r="Z15" s="89">
        <f ca="1">TODAY()</f>
        <v>45365</v>
      </c>
    </row>
    <row r="16" spans="1:26" ht="32.25" customHeight="1" thickBot="1" x14ac:dyDescent="0.25">
      <c r="A16" s="12" t="s">
        <v>925</v>
      </c>
      <c r="B16" s="10" t="s">
        <v>926</v>
      </c>
      <c r="C16" s="316">
        <v>100</v>
      </c>
      <c r="D16" s="316">
        <v>100</v>
      </c>
      <c r="E16" s="316">
        <v>100</v>
      </c>
      <c r="F16" s="316">
        <v>100</v>
      </c>
      <c r="G16" s="18" t="s">
        <v>927</v>
      </c>
      <c r="H16" s="15" t="s">
        <v>928</v>
      </c>
      <c r="I16" s="8" t="s">
        <v>219</v>
      </c>
      <c r="J16" s="328" t="s">
        <v>929</v>
      </c>
      <c r="K16" s="331" t="s">
        <v>930</v>
      </c>
      <c r="L16" s="332" t="s">
        <v>931</v>
      </c>
      <c r="M16" s="332" t="s">
        <v>932</v>
      </c>
      <c r="N16" s="334" t="s">
        <v>933</v>
      </c>
      <c r="O16" s="19" t="s">
        <v>934</v>
      </c>
      <c r="P16" s="69" t="s">
        <v>935</v>
      </c>
      <c r="Q16" s="70" t="str">
        <f>IF(AND('PI-1S-CBP'!B10="renewal",'PI-1S-CBP'!B11=""),"No",IF(OR('6004Checklist'!C19="Yes",'6004Checklist'!C22="yes"),"Yes","No"))</f>
        <v>No</v>
      </c>
      <c r="R16" s="69" t="s">
        <v>935</v>
      </c>
      <c r="S16" s="70" t="str">
        <f>Q16</f>
        <v>No</v>
      </c>
      <c r="T16" s="74">
        <v>3000</v>
      </c>
      <c r="U16" s="19" t="s">
        <v>936</v>
      </c>
      <c r="W16" t="s">
        <v>357</v>
      </c>
    </row>
    <row r="17" spans="1:23" ht="39" thickBot="1" x14ac:dyDescent="0.25">
      <c r="A17" s="12" t="s">
        <v>937</v>
      </c>
      <c r="B17" s="10" t="s">
        <v>938</v>
      </c>
      <c r="C17" s="316">
        <v>100</v>
      </c>
      <c r="D17" s="316">
        <v>100</v>
      </c>
      <c r="E17" s="316">
        <v>100</v>
      </c>
      <c r="F17" s="316">
        <v>100</v>
      </c>
      <c r="G17" s="18" t="s">
        <v>939</v>
      </c>
      <c r="H17" s="15" t="s">
        <v>940</v>
      </c>
      <c r="I17" s="9" t="s">
        <v>382</v>
      </c>
      <c r="J17" s="6" t="s">
        <v>941</v>
      </c>
      <c r="L17" s="332" t="s">
        <v>942</v>
      </c>
      <c r="M17" s="332" t="s">
        <v>943</v>
      </c>
      <c r="N17" s="334" t="s">
        <v>944</v>
      </c>
      <c r="O17" s="19" t="s">
        <v>945</v>
      </c>
      <c r="P17" s="71" t="s">
        <v>946</v>
      </c>
      <c r="Q17" s="531" t="str">
        <f>IF(AND(Q15="Yes",Q16="No"),"Yes","No")</f>
        <v>No</v>
      </c>
      <c r="R17" s="73" t="s">
        <v>946</v>
      </c>
      <c r="S17" s="72" t="str">
        <f>IF(AND(S15="Yes",S16="No"),"Yes","No")</f>
        <v>No</v>
      </c>
      <c r="U17" s="19" t="s">
        <v>947</v>
      </c>
      <c r="W17" t="s">
        <v>359</v>
      </c>
    </row>
    <row r="18" spans="1:23" ht="26.25" thickBot="1" x14ac:dyDescent="0.25">
      <c r="A18" s="12" t="s">
        <v>948</v>
      </c>
      <c r="B18" s="10" t="s">
        <v>939</v>
      </c>
      <c r="C18" s="316">
        <v>100</v>
      </c>
      <c r="D18" s="316">
        <v>100</v>
      </c>
      <c r="E18" s="316">
        <v>100</v>
      </c>
      <c r="F18" s="316">
        <v>100</v>
      </c>
      <c r="G18" s="18" t="s">
        <v>949</v>
      </c>
      <c r="H18" s="15" t="s">
        <v>950</v>
      </c>
      <c r="J18" s="6" t="s">
        <v>951</v>
      </c>
      <c r="L18" s="332" t="s">
        <v>952</v>
      </c>
      <c r="M18" s="333" t="s">
        <v>232</v>
      </c>
      <c r="N18" s="334" t="s">
        <v>921</v>
      </c>
      <c r="O18" s="19"/>
      <c r="P18" s="19"/>
      <c r="U18" s="19" t="s">
        <v>953</v>
      </c>
      <c r="V18" t="s">
        <v>232</v>
      </c>
      <c r="W18" t="s">
        <v>954</v>
      </c>
    </row>
    <row r="19" spans="1:23" ht="13.5" thickBot="1" x14ac:dyDescent="0.25">
      <c r="A19" s="12" t="s">
        <v>955</v>
      </c>
      <c r="B19" s="10" t="s">
        <v>956</v>
      </c>
      <c r="C19" s="316">
        <v>100</v>
      </c>
      <c r="D19" s="316">
        <v>100</v>
      </c>
      <c r="E19" s="316">
        <v>100</v>
      </c>
      <c r="F19" s="316">
        <v>100</v>
      </c>
      <c r="G19" s="16" t="s">
        <v>957</v>
      </c>
      <c r="H19" s="15" t="s">
        <v>958</v>
      </c>
      <c r="J19" s="6" t="s">
        <v>959</v>
      </c>
      <c r="L19" s="333" t="s">
        <v>232</v>
      </c>
      <c r="N19" s="333" t="s">
        <v>232</v>
      </c>
      <c r="O19" s="19"/>
      <c r="P19" s="19"/>
      <c r="U19" s="19" t="s">
        <v>232</v>
      </c>
    </row>
    <row r="20" spans="1:23" x14ac:dyDescent="0.2">
      <c r="A20" s="12" t="s">
        <v>960</v>
      </c>
      <c r="B20" s="10" t="s">
        <v>961</v>
      </c>
      <c r="C20" s="316">
        <v>100</v>
      </c>
      <c r="D20" s="316">
        <v>100</v>
      </c>
      <c r="E20" s="316">
        <v>100</v>
      </c>
      <c r="F20" s="316">
        <v>100</v>
      </c>
      <c r="G20" s="16" t="s">
        <v>962</v>
      </c>
      <c r="H20" s="15" t="s">
        <v>963</v>
      </c>
      <c r="J20" s="6" t="s">
        <v>964</v>
      </c>
      <c r="L20" s="332" t="s">
        <v>965</v>
      </c>
    </row>
    <row r="21" spans="1:23" ht="25.5" x14ac:dyDescent="0.2">
      <c r="A21" s="12" t="s">
        <v>966</v>
      </c>
      <c r="B21" s="10" t="s">
        <v>927</v>
      </c>
      <c r="C21" s="316">
        <v>100</v>
      </c>
      <c r="D21" s="316">
        <v>100</v>
      </c>
      <c r="E21" s="316">
        <v>100</v>
      </c>
      <c r="F21" s="316">
        <v>100</v>
      </c>
      <c r="G21" s="16" t="s">
        <v>956</v>
      </c>
      <c r="H21" s="15" t="s">
        <v>967</v>
      </c>
      <c r="J21" s="6" t="s">
        <v>968</v>
      </c>
      <c r="L21" s="332" t="s">
        <v>931</v>
      </c>
    </row>
    <row r="22" spans="1:23" x14ac:dyDescent="0.2">
      <c r="A22" s="12" t="s">
        <v>969</v>
      </c>
      <c r="B22" s="10" t="s">
        <v>962</v>
      </c>
      <c r="C22" s="316">
        <v>100</v>
      </c>
      <c r="D22" s="316">
        <v>100</v>
      </c>
      <c r="E22" s="316">
        <v>100</v>
      </c>
      <c r="F22" s="316">
        <v>100</v>
      </c>
      <c r="G22" s="16" t="s">
        <v>970</v>
      </c>
      <c r="H22" s="15" t="s">
        <v>971</v>
      </c>
      <c r="J22" s="6" t="s">
        <v>972</v>
      </c>
      <c r="L22" s="332" t="s">
        <v>952</v>
      </c>
    </row>
    <row r="23" spans="1:23" x14ac:dyDescent="0.2">
      <c r="A23" s="12" t="s">
        <v>973</v>
      </c>
      <c r="B23" s="10" t="s">
        <v>957</v>
      </c>
      <c r="C23" s="316">
        <v>100</v>
      </c>
      <c r="D23" s="316">
        <v>100</v>
      </c>
      <c r="E23" s="316">
        <v>100</v>
      </c>
      <c r="F23" s="316">
        <v>100</v>
      </c>
      <c r="G23" s="16" t="s">
        <v>974</v>
      </c>
      <c r="H23" s="15" t="s">
        <v>975</v>
      </c>
      <c r="J23" s="7" t="s">
        <v>976</v>
      </c>
    </row>
    <row r="24" spans="1:23" x14ac:dyDescent="0.2">
      <c r="A24" s="12" t="s">
        <v>977</v>
      </c>
      <c r="B24" s="10" t="s">
        <v>978</v>
      </c>
      <c r="C24" s="316">
        <v>100</v>
      </c>
      <c r="D24" s="316">
        <v>100</v>
      </c>
      <c r="E24" s="316">
        <v>100</v>
      </c>
      <c r="F24" s="316">
        <v>100</v>
      </c>
      <c r="G24" s="16" t="s">
        <v>978</v>
      </c>
      <c r="H24" s="15" t="s">
        <v>979</v>
      </c>
    </row>
    <row r="25" spans="1:23" x14ac:dyDescent="0.2">
      <c r="A25" s="12" t="s">
        <v>980</v>
      </c>
      <c r="B25" s="10" t="s">
        <v>962</v>
      </c>
      <c r="C25" s="316">
        <v>100</v>
      </c>
      <c r="D25" s="316">
        <v>100</v>
      </c>
      <c r="E25" s="316">
        <v>100</v>
      </c>
      <c r="F25" s="316">
        <v>100</v>
      </c>
      <c r="G25" s="16" t="s">
        <v>961</v>
      </c>
      <c r="H25" s="290" t="s">
        <v>981</v>
      </c>
    </row>
    <row r="26" spans="1:23" x14ac:dyDescent="0.2">
      <c r="A26" s="12" t="s">
        <v>134</v>
      </c>
      <c r="B26" s="10" t="s">
        <v>949</v>
      </c>
      <c r="C26" s="316">
        <v>100</v>
      </c>
      <c r="D26" s="316">
        <v>100</v>
      </c>
      <c r="E26" s="316">
        <v>100</v>
      </c>
      <c r="F26" s="316">
        <v>100</v>
      </c>
      <c r="G26" s="16" t="s">
        <v>982</v>
      </c>
      <c r="H26" s="290" t="s">
        <v>983</v>
      </c>
      <c r="M26" s="19"/>
    </row>
    <row r="27" spans="1:23" x14ac:dyDescent="0.2">
      <c r="A27" s="12" t="s">
        <v>984</v>
      </c>
      <c r="B27" s="10" t="s">
        <v>961</v>
      </c>
      <c r="C27" s="316">
        <v>100</v>
      </c>
      <c r="D27" s="316">
        <v>100</v>
      </c>
      <c r="E27" s="316">
        <v>100</v>
      </c>
      <c r="F27" s="316">
        <v>100</v>
      </c>
      <c r="G27" s="16" t="s">
        <v>926</v>
      </c>
      <c r="H27" s="290" t="s">
        <v>985</v>
      </c>
      <c r="M27" s="19"/>
    </row>
    <row r="28" spans="1:23" x14ac:dyDescent="0.2">
      <c r="A28" s="12" t="s">
        <v>986</v>
      </c>
      <c r="B28" s="10" t="s">
        <v>956</v>
      </c>
      <c r="C28" s="316">
        <v>100</v>
      </c>
      <c r="D28" s="316">
        <v>100</v>
      </c>
      <c r="E28" s="316">
        <v>100</v>
      </c>
      <c r="F28" s="316">
        <v>100</v>
      </c>
      <c r="G28" s="16" t="s">
        <v>987</v>
      </c>
      <c r="H28" s="290" t="s">
        <v>988</v>
      </c>
      <c r="M28" s="19"/>
    </row>
    <row r="29" spans="1:23" x14ac:dyDescent="0.2">
      <c r="A29" s="12" t="s">
        <v>989</v>
      </c>
      <c r="B29" s="10" t="s">
        <v>990</v>
      </c>
      <c r="C29" s="316">
        <v>100</v>
      </c>
      <c r="D29" s="316">
        <v>100</v>
      </c>
      <c r="E29" s="316">
        <v>100</v>
      </c>
      <c r="F29" s="316">
        <v>100</v>
      </c>
      <c r="G29" s="16" t="s">
        <v>938</v>
      </c>
      <c r="H29" s="290" t="s">
        <v>991</v>
      </c>
      <c r="M29" s="19"/>
    </row>
    <row r="30" spans="1:23" x14ac:dyDescent="0.2">
      <c r="A30" s="12" t="s">
        <v>992</v>
      </c>
      <c r="B30" s="10" t="s">
        <v>962</v>
      </c>
      <c r="C30" s="316">
        <v>100</v>
      </c>
      <c r="D30" s="316">
        <v>100</v>
      </c>
      <c r="E30" s="316">
        <v>100</v>
      </c>
      <c r="F30" s="316">
        <v>100</v>
      </c>
      <c r="G30" s="16" t="s">
        <v>993</v>
      </c>
      <c r="H30" s="290" t="s">
        <v>994</v>
      </c>
      <c r="M30" s="19"/>
    </row>
    <row r="31" spans="1:23" x14ac:dyDescent="0.2">
      <c r="A31" s="12" t="s">
        <v>995</v>
      </c>
      <c r="B31" s="10" t="s">
        <v>949</v>
      </c>
      <c r="C31" s="316">
        <v>100</v>
      </c>
      <c r="D31" s="316">
        <v>100</v>
      </c>
      <c r="E31" s="316">
        <v>100</v>
      </c>
      <c r="F31" s="316">
        <v>100</v>
      </c>
      <c r="G31" s="17" t="s">
        <v>990</v>
      </c>
      <c r="H31" s="291" t="s">
        <v>996</v>
      </c>
      <c r="M31" s="19"/>
    </row>
    <row r="32" spans="1:23" x14ac:dyDescent="0.2">
      <c r="A32" s="12" t="s">
        <v>997</v>
      </c>
      <c r="B32" s="10" t="s">
        <v>938</v>
      </c>
      <c r="C32" s="316">
        <v>100</v>
      </c>
      <c r="D32" s="316">
        <v>100</v>
      </c>
      <c r="E32" s="316">
        <v>100</v>
      </c>
      <c r="F32" s="316">
        <v>100</v>
      </c>
      <c r="G32" s="3"/>
      <c r="H32" s="3"/>
      <c r="M32" s="19"/>
    </row>
    <row r="33" spans="1:13" x14ac:dyDescent="0.2">
      <c r="A33" s="12" t="s">
        <v>998</v>
      </c>
      <c r="B33" s="10" t="s">
        <v>990</v>
      </c>
      <c r="C33" s="316">
        <v>100</v>
      </c>
      <c r="D33" s="316">
        <v>100</v>
      </c>
      <c r="E33" s="316">
        <v>100</v>
      </c>
      <c r="F33" s="316">
        <v>100</v>
      </c>
      <c r="G33" s="3"/>
      <c r="H33" s="3"/>
      <c r="M33" s="19"/>
    </row>
    <row r="34" spans="1:13" x14ac:dyDescent="0.2">
      <c r="A34" s="12" t="s">
        <v>999</v>
      </c>
      <c r="B34" s="10" t="s">
        <v>926</v>
      </c>
      <c r="C34" s="316">
        <v>100</v>
      </c>
      <c r="D34" s="316">
        <v>100</v>
      </c>
      <c r="E34" s="316">
        <v>100</v>
      </c>
      <c r="F34" s="316">
        <v>100</v>
      </c>
      <c r="G34" s="3"/>
      <c r="H34" s="3"/>
      <c r="M34" s="19"/>
    </row>
    <row r="35" spans="1:13" x14ac:dyDescent="0.2">
      <c r="A35" s="12" t="s">
        <v>929</v>
      </c>
      <c r="B35" s="10" t="s">
        <v>957</v>
      </c>
      <c r="C35" s="316">
        <v>200</v>
      </c>
      <c r="D35" s="316">
        <v>100</v>
      </c>
      <c r="E35" s="316">
        <v>200</v>
      </c>
      <c r="F35" s="316">
        <v>100</v>
      </c>
      <c r="G35" s="3"/>
      <c r="H35" s="3"/>
    </row>
    <row r="36" spans="1:13" x14ac:dyDescent="0.2">
      <c r="A36" s="12" t="s">
        <v>1000</v>
      </c>
      <c r="B36" s="10" t="s">
        <v>990</v>
      </c>
      <c r="C36" s="316">
        <v>100</v>
      </c>
      <c r="D36" s="316">
        <v>100</v>
      </c>
      <c r="E36" s="316">
        <v>100</v>
      </c>
      <c r="F36" s="316">
        <v>100</v>
      </c>
      <c r="G36" s="3"/>
      <c r="H36" s="3"/>
    </row>
    <row r="37" spans="1:13" x14ac:dyDescent="0.2">
      <c r="A37" s="12" t="s">
        <v>1001</v>
      </c>
      <c r="B37" s="10" t="s">
        <v>987</v>
      </c>
      <c r="C37" s="316">
        <v>100</v>
      </c>
      <c r="D37" s="316">
        <v>100</v>
      </c>
      <c r="E37" s="316">
        <v>100</v>
      </c>
      <c r="F37" s="316">
        <v>100</v>
      </c>
      <c r="G37" s="3"/>
      <c r="H37" s="3"/>
    </row>
    <row r="38" spans="1:13" ht="13.5" thickBot="1" x14ac:dyDescent="0.25">
      <c r="A38" s="12" t="s">
        <v>1002</v>
      </c>
      <c r="B38" s="10" t="s">
        <v>927</v>
      </c>
      <c r="C38" s="316">
        <v>100</v>
      </c>
      <c r="D38" s="316">
        <v>100</v>
      </c>
      <c r="E38" s="316">
        <v>100</v>
      </c>
      <c r="F38" s="316">
        <v>100</v>
      </c>
      <c r="G38" s="3"/>
      <c r="H38" s="3"/>
    </row>
    <row r="39" spans="1:13" ht="15" x14ac:dyDescent="0.2">
      <c r="A39" s="12" t="s">
        <v>1003</v>
      </c>
      <c r="B39" s="10" t="s">
        <v>970</v>
      </c>
      <c r="C39" s="316">
        <v>100</v>
      </c>
      <c r="D39" s="316">
        <v>100</v>
      </c>
      <c r="E39" s="316">
        <v>100</v>
      </c>
      <c r="F39" s="316">
        <v>100</v>
      </c>
      <c r="G39" s="3"/>
      <c r="H39" s="925" t="s">
        <v>1004</v>
      </c>
      <c r="I39" s="926"/>
      <c r="J39" s="927"/>
    </row>
    <row r="40" spans="1:13" x14ac:dyDescent="0.2">
      <c r="A40" s="12" t="s">
        <v>1005</v>
      </c>
      <c r="B40" s="10" t="s">
        <v>961</v>
      </c>
      <c r="C40" s="316">
        <v>100</v>
      </c>
      <c r="D40" s="316">
        <v>100</v>
      </c>
      <c r="E40" s="316">
        <v>100</v>
      </c>
      <c r="F40" s="316">
        <v>100</v>
      </c>
      <c r="G40" s="3"/>
      <c r="H40" s="295" t="s">
        <v>1006</v>
      </c>
      <c r="J40" s="296"/>
    </row>
    <row r="41" spans="1:13" x14ac:dyDescent="0.2">
      <c r="A41" s="12" t="s">
        <v>1007</v>
      </c>
      <c r="B41" s="10" t="s">
        <v>990</v>
      </c>
      <c r="C41" s="316">
        <v>100</v>
      </c>
      <c r="D41" s="316">
        <v>100</v>
      </c>
      <c r="E41" s="316">
        <v>100</v>
      </c>
      <c r="F41" s="316">
        <v>100</v>
      </c>
      <c r="G41" s="3"/>
      <c r="H41" s="295" t="s">
        <v>1008</v>
      </c>
      <c r="J41" s="296"/>
    </row>
    <row r="42" spans="1:13" x14ac:dyDescent="0.2">
      <c r="A42" s="12" t="s">
        <v>1009</v>
      </c>
      <c r="B42" s="10" t="s">
        <v>949</v>
      </c>
      <c r="C42" s="316">
        <v>100</v>
      </c>
      <c r="D42" s="316">
        <v>100</v>
      </c>
      <c r="E42" s="316">
        <v>100</v>
      </c>
      <c r="F42" s="316">
        <v>100</v>
      </c>
      <c r="G42" s="3"/>
      <c r="H42" s="295" t="s">
        <v>1010</v>
      </c>
      <c r="J42" s="296"/>
    </row>
    <row r="43" spans="1:13" x14ac:dyDescent="0.2">
      <c r="A43" s="12" t="s">
        <v>1011</v>
      </c>
      <c r="B43" s="10" t="s">
        <v>949</v>
      </c>
      <c r="C43" s="316">
        <v>100</v>
      </c>
      <c r="D43" s="316">
        <v>100</v>
      </c>
      <c r="E43" s="316">
        <v>100</v>
      </c>
      <c r="F43" s="316">
        <v>100</v>
      </c>
      <c r="G43" s="3"/>
      <c r="H43" s="297" t="s">
        <v>1012</v>
      </c>
      <c r="J43" s="296"/>
    </row>
    <row r="44" spans="1:13" x14ac:dyDescent="0.2">
      <c r="A44" s="12" t="s">
        <v>1013</v>
      </c>
      <c r="B44" s="10" t="s">
        <v>956</v>
      </c>
      <c r="C44" s="316">
        <v>100</v>
      </c>
      <c r="D44" s="316">
        <v>100</v>
      </c>
      <c r="E44" s="316">
        <v>100</v>
      </c>
      <c r="F44" s="316">
        <v>100</v>
      </c>
      <c r="G44" s="3"/>
      <c r="H44" s="297" t="s">
        <v>1014</v>
      </c>
      <c r="J44" s="296"/>
    </row>
    <row r="45" spans="1:13" ht="13.5" thickBot="1" x14ac:dyDescent="0.25">
      <c r="A45" s="12" t="s">
        <v>1015</v>
      </c>
      <c r="B45" s="10" t="s">
        <v>961</v>
      </c>
      <c r="C45" s="316">
        <v>100</v>
      </c>
      <c r="D45" s="316">
        <v>100</v>
      </c>
      <c r="E45" s="316">
        <v>100</v>
      </c>
      <c r="F45" s="316">
        <v>100</v>
      </c>
      <c r="G45" s="3"/>
      <c r="H45" s="298"/>
      <c r="I45" s="299"/>
      <c r="J45" s="300"/>
    </row>
    <row r="46" spans="1:13" x14ac:dyDescent="0.2">
      <c r="A46" s="12" t="s">
        <v>1016</v>
      </c>
      <c r="B46" s="10" t="s">
        <v>970</v>
      </c>
      <c r="C46" s="316">
        <v>300</v>
      </c>
      <c r="D46" s="316">
        <v>100</v>
      </c>
      <c r="E46" s="316">
        <v>200</v>
      </c>
      <c r="F46" s="316">
        <v>200</v>
      </c>
      <c r="G46" s="3"/>
      <c r="H46" s="3"/>
    </row>
    <row r="47" spans="1:13" ht="13.5" thickBot="1" x14ac:dyDescent="0.25">
      <c r="A47" s="12" t="s">
        <v>1017</v>
      </c>
      <c r="B47" s="10" t="s">
        <v>926</v>
      </c>
      <c r="C47" s="316">
        <v>100</v>
      </c>
      <c r="D47" s="316">
        <v>100</v>
      </c>
      <c r="E47" s="316">
        <v>100</v>
      </c>
      <c r="F47" s="316">
        <v>100</v>
      </c>
      <c r="G47" s="3"/>
      <c r="H47" s="3"/>
    </row>
    <row r="48" spans="1:13" ht="15" x14ac:dyDescent="0.2">
      <c r="A48" s="12" t="s">
        <v>1018</v>
      </c>
      <c r="B48" s="10" t="s">
        <v>927</v>
      </c>
      <c r="C48" s="316">
        <v>100</v>
      </c>
      <c r="D48" s="316">
        <v>100</v>
      </c>
      <c r="E48" s="316">
        <v>100</v>
      </c>
      <c r="F48" s="316">
        <v>100</v>
      </c>
      <c r="G48" s="3"/>
      <c r="H48" s="925" t="s">
        <v>1019</v>
      </c>
      <c r="I48" s="926"/>
      <c r="J48" s="926"/>
      <c r="K48" s="927"/>
    </row>
    <row r="49" spans="1:11" x14ac:dyDescent="0.2">
      <c r="A49" s="12" t="s">
        <v>1020</v>
      </c>
      <c r="B49" s="10" t="s">
        <v>926</v>
      </c>
      <c r="C49" s="316">
        <v>100</v>
      </c>
      <c r="D49" s="316">
        <v>100</v>
      </c>
      <c r="E49" s="316">
        <v>100</v>
      </c>
      <c r="F49" s="316">
        <v>100</v>
      </c>
      <c r="G49" s="3"/>
      <c r="H49" s="932" t="s">
        <v>1021</v>
      </c>
      <c r="I49" s="933"/>
      <c r="J49" s="933"/>
      <c r="K49" s="292" t="s">
        <v>1022</v>
      </c>
    </row>
    <row r="50" spans="1:11" ht="38.25" x14ac:dyDescent="0.2">
      <c r="A50" s="12" t="s">
        <v>1023</v>
      </c>
      <c r="B50" s="10" t="s">
        <v>927</v>
      </c>
      <c r="C50" s="316">
        <v>100</v>
      </c>
      <c r="D50" s="316">
        <v>100</v>
      </c>
      <c r="E50" s="316">
        <v>100</v>
      </c>
      <c r="F50" s="316">
        <v>100</v>
      </c>
      <c r="G50" s="3"/>
      <c r="H50" s="928" t="s">
        <v>1024</v>
      </c>
      <c r="I50" s="929"/>
      <c r="J50" s="929"/>
      <c r="K50" s="289" t="s">
        <v>1025</v>
      </c>
    </row>
    <row r="51" spans="1:11" ht="38.25" x14ac:dyDescent="0.2">
      <c r="A51" s="12" t="s">
        <v>941</v>
      </c>
      <c r="B51" s="10" t="s">
        <v>957</v>
      </c>
      <c r="C51" s="316">
        <v>200</v>
      </c>
      <c r="D51" s="316">
        <v>100</v>
      </c>
      <c r="E51" s="316">
        <v>200</v>
      </c>
      <c r="F51" s="316">
        <v>100</v>
      </c>
      <c r="G51" s="3"/>
      <c r="H51" s="928" t="s">
        <v>1026</v>
      </c>
      <c r="I51" s="929"/>
      <c r="J51" s="929"/>
      <c r="K51" s="289" t="s">
        <v>1027</v>
      </c>
    </row>
    <row r="52" spans="1:11" ht="14.25" x14ac:dyDescent="0.2">
      <c r="A52" s="12" t="s">
        <v>1028</v>
      </c>
      <c r="B52" s="10" t="s">
        <v>926</v>
      </c>
      <c r="C52" s="316">
        <v>100</v>
      </c>
      <c r="D52" s="316">
        <v>100</v>
      </c>
      <c r="E52" s="316">
        <v>100</v>
      </c>
      <c r="F52" s="316">
        <v>100</v>
      </c>
      <c r="G52" s="3"/>
      <c r="H52" s="928" t="s">
        <v>1029</v>
      </c>
      <c r="I52" s="929"/>
      <c r="J52" s="929"/>
      <c r="K52" s="289" t="s">
        <v>1030</v>
      </c>
    </row>
    <row r="53" spans="1:11" ht="14.25" x14ac:dyDescent="0.2">
      <c r="A53" s="12" t="s">
        <v>1031</v>
      </c>
      <c r="B53" s="10" t="s">
        <v>927</v>
      </c>
      <c r="C53" s="316">
        <v>100</v>
      </c>
      <c r="D53" s="316">
        <v>100</v>
      </c>
      <c r="E53" s="316">
        <v>100</v>
      </c>
      <c r="F53" s="316">
        <v>100</v>
      </c>
      <c r="G53" s="3"/>
      <c r="H53" s="928" t="s">
        <v>1032</v>
      </c>
      <c r="I53" s="929"/>
      <c r="J53" s="929"/>
      <c r="K53" s="289" t="s">
        <v>1033</v>
      </c>
    </row>
    <row r="54" spans="1:11" ht="14.25" x14ac:dyDescent="0.2">
      <c r="A54" s="12" t="s">
        <v>1034</v>
      </c>
      <c r="B54" s="10" t="s">
        <v>961</v>
      </c>
      <c r="C54" s="316">
        <v>100</v>
      </c>
      <c r="D54" s="316">
        <v>100</v>
      </c>
      <c r="E54" s="316">
        <v>100</v>
      </c>
      <c r="F54" s="316">
        <v>100</v>
      </c>
      <c r="G54" s="3"/>
      <c r="H54" s="928" t="s">
        <v>1035</v>
      </c>
      <c r="I54" s="929"/>
      <c r="J54" s="929"/>
      <c r="K54" s="289" t="s">
        <v>1036</v>
      </c>
    </row>
    <row r="55" spans="1:11" ht="25.5" x14ac:dyDescent="0.2">
      <c r="A55" s="12" t="s">
        <v>1037</v>
      </c>
      <c r="B55" s="10" t="s">
        <v>978</v>
      </c>
      <c r="C55" s="316">
        <v>100</v>
      </c>
      <c r="D55" s="316">
        <v>100</v>
      </c>
      <c r="E55" s="316">
        <v>100</v>
      </c>
      <c r="F55" s="316">
        <v>100</v>
      </c>
      <c r="G55" s="3"/>
      <c r="H55" s="928" t="s">
        <v>1038</v>
      </c>
      <c r="I55" s="929"/>
      <c r="J55" s="929"/>
      <c r="K55" s="289" t="s">
        <v>1039</v>
      </c>
    </row>
    <row r="56" spans="1:11" ht="38.25" x14ac:dyDescent="0.2">
      <c r="A56" s="12" t="s">
        <v>1040</v>
      </c>
      <c r="B56" s="10" t="s">
        <v>993</v>
      </c>
      <c r="C56" s="316">
        <v>100</v>
      </c>
      <c r="D56" s="316">
        <v>100</v>
      </c>
      <c r="E56" s="316">
        <v>100</v>
      </c>
      <c r="F56" s="316">
        <v>100</v>
      </c>
      <c r="G56" s="3"/>
      <c r="H56" s="928" t="s">
        <v>1041</v>
      </c>
      <c r="I56" s="929"/>
      <c r="J56" s="929"/>
      <c r="K56" s="289" t="s">
        <v>1027</v>
      </c>
    </row>
    <row r="57" spans="1:11" ht="14.25" x14ac:dyDescent="0.2">
      <c r="A57" s="12" t="s">
        <v>1042</v>
      </c>
      <c r="B57" s="10" t="s">
        <v>961</v>
      </c>
      <c r="C57" s="316">
        <v>100</v>
      </c>
      <c r="D57" s="316">
        <v>100</v>
      </c>
      <c r="E57" s="316">
        <v>100</v>
      </c>
      <c r="F57" s="316">
        <v>100</v>
      </c>
      <c r="G57" s="3"/>
      <c r="H57" s="928" t="s">
        <v>1043</v>
      </c>
      <c r="I57" s="929"/>
      <c r="J57" s="929"/>
      <c r="K57" s="289" t="s">
        <v>1030</v>
      </c>
    </row>
    <row r="58" spans="1:11" ht="39" thickBot="1" x14ac:dyDescent="0.25">
      <c r="A58" s="12" t="s">
        <v>1044</v>
      </c>
      <c r="B58" s="10" t="s">
        <v>982</v>
      </c>
      <c r="C58" s="316">
        <v>100</v>
      </c>
      <c r="D58" s="316">
        <v>100</v>
      </c>
      <c r="E58" s="316">
        <v>100</v>
      </c>
      <c r="F58" s="316">
        <v>100</v>
      </c>
      <c r="G58" s="3"/>
      <c r="H58" s="930" t="s">
        <v>1045</v>
      </c>
      <c r="I58" s="931"/>
      <c r="J58" s="931"/>
      <c r="K58" s="293" t="s">
        <v>1046</v>
      </c>
    </row>
    <row r="59" spans="1:11" x14ac:dyDescent="0.2">
      <c r="A59" s="12" t="s">
        <v>1047</v>
      </c>
      <c r="B59" s="10" t="s">
        <v>927</v>
      </c>
      <c r="C59" s="316">
        <v>100</v>
      </c>
      <c r="D59" s="316">
        <v>100</v>
      </c>
      <c r="E59" s="316">
        <v>100</v>
      </c>
      <c r="F59" s="316">
        <v>100</v>
      </c>
      <c r="G59" s="3"/>
      <c r="H59" s="3"/>
    </row>
    <row r="60" spans="1:11" x14ac:dyDescent="0.2">
      <c r="A60" s="12" t="s">
        <v>1048</v>
      </c>
      <c r="B60" s="10" t="s">
        <v>957</v>
      </c>
      <c r="C60" s="316">
        <v>100</v>
      </c>
      <c r="D60" s="316">
        <v>100</v>
      </c>
      <c r="E60" s="316">
        <v>100</v>
      </c>
      <c r="F60" s="316">
        <v>100</v>
      </c>
      <c r="G60" s="3"/>
      <c r="H60" s="3"/>
    </row>
    <row r="61" spans="1:11" x14ac:dyDescent="0.2">
      <c r="A61" s="12" t="s">
        <v>1049</v>
      </c>
      <c r="B61" s="10" t="s">
        <v>962</v>
      </c>
      <c r="C61" s="316">
        <v>100</v>
      </c>
      <c r="D61" s="316">
        <v>100</v>
      </c>
      <c r="E61" s="316">
        <v>100</v>
      </c>
      <c r="F61" s="316">
        <v>100</v>
      </c>
      <c r="G61" s="3"/>
      <c r="H61" s="3"/>
    </row>
    <row r="62" spans="1:11" x14ac:dyDescent="0.2">
      <c r="A62" s="12" t="s">
        <v>1050</v>
      </c>
      <c r="B62" s="10" t="s">
        <v>961</v>
      </c>
      <c r="C62" s="316">
        <v>100</v>
      </c>
      <c r="D62" s="316">
        <v>100</v>
      </c>
      <c r="E62" s="316">
        <v>100</v>
      </c>
      <c r="F62" s="316">
        <v>100</v>
      </c>
      <c r="G62" s="3"/>
      <c r="H62" s="3"/>
    </row>
    <row r="63" spans="1:11" x14ac:dyDescent="0.2">
      <c r="A63" s="12" t="s">
        <v>1051</v>
      </c>
      <c r="B63" s="10" t="s">
        <v>993</v>
      </c>
      <c r="C63" s="316">
        <v>100</v>
      </c>
      <c r="D63" s="316">
        <v>100</v>
      </c>
      <c r="E63" s="316">
        <v>100</v>
      </c>
      <c r="F63" s="316">
        <v>100</v>
      </c>
      <c r="G63" s="3"/>
      <c r="H63" s="3"/>
    </row>
    <row r="64" spans="1:11" x14ac:dyDescent="0.2">
      <c r="A64" s="12" t="s">
        <v>1052</v>
      </c>
      <c r="B64" s="10" t="s">
        <v>982</v>
      </c>
      <c r="C64" s="316">
        <v>100</v>
      </c>
      <c r="D64" s="316">
        <v>100</v>
      </c>
      <c r="E64" s="316">
        <v>100</v>
      </c>
      <c r="F64" s="316">
        <v>100</v>
      </c>
      <c r="G64" s="3"/>
      <c r="H64" s="3"/>
    </row>
    <row r="65" spans="1:8" x14ac:dyDescent="0.2">
      <c r="A65" s="12" t="s">
        <v>1053</v>
      </c>
      <c r="B65" s="10" t="s">
        <v>990</v>
      </c>
      <c r="C65" s="316">
        <v>100</v>
      </c>
      <c r="D65" s="316">
        <v>100</v>
      </c>
      <c r="E65" s="316">
        <v>100</v>
      </c>
      <c r="F65" s="316">
        <v>100</v>
      </c>
      <c r="G65" s="3"/>
      <c r="H65" s="3"/>
    </row>
    <row r="66" spans="1:8" x14ac:dyDescent="0.2">
      <c r="A66" s="12" t="s">
        <v>1054</v>
      </c>
      <c r="B66" s="10" t="s">
        <v>961</v>
      </c>
      <c r="C66" s="316">
        <v>100</v>
      </c>
      <c r="D66" s="316">
        <v>100</v>
      </c>
      <c r="E66" s="316">
        <v>100</v>
      </c>
      <c r="F66" s="316">
        <v>100</v>
      </c>
      <c r="G66" s="3"/>
      <c r="H66" s="3"/>
    </row>
    <row r="67" spans="1:8" x14ac:dyDescent="0.2">
      <c r="A67" s="12" t="s">
        <v>1055</v>
      </c>
      <c r="B67" s="10" t="s">
        <v>938</v>
      </c>
      <c r="C67" s="316">
        <v>100</v>
      </c>
      <c r="D67" s="316">
        <v>100</v>
      </c>
      <c r="E67" s="316">
        <v>100</v>
      </c>
      <c r="F67" s="316">
        <v>100</v>
      </c>
      <c r="G67" s="3"/>
      <c r="H67" s="3"/>
    </row>
    <row r="68" spans="1:8" x14ac:dyDescent="0.2">
      <c r="A68" s="12" t="s">
        <v>1056</v>
      </c>
      <c r="B68" s="10" t="s">
        <v>993</v>
      </c>
      <c r="C68" s="316">
        <v>100</v>
      </c>
      <c r="D68" s="316">
        <v>100</v>
      </c>
      <c r="E68" s="316">
        <v>100</v>
      </c>
      <c r="F68" s="316">
        <v>100</v>
      </c>
      <c r="G68" s="3"/>
      <c r="H68" s="3"/>
    </row>
    <row r="69" spans="1:8" x14ac:dyDescent="0.2">
      <c r="A69" s="12" t="s">
        <v>1057</v>
      </c>
      <c r="B69" s="10" t="s">
        <v>978</v>
      </c>
      <c r="C69" s="316">
        <v>100</v>
      </c>
      <c r="D69" s="316">
        <v>100</v>
      </c>
      <c r="E69" s="316">
        <v>100</v>
      </c>
      <c r="F69" s="316">
        <v>100</v>
      </c>
      <c r="G69" s="3"/>
      <c r="H69" s="3"/>
    </row>
    <row r="70" spans="1:8" x14ac:dyDescent="0.2">
      <c r="A70" s="12" t="s">
        <v>1058</v>
      </c>
      <c r="B70" s="10" t="s">
        <v>987</v>
      </c>
      <c r="C70" s="316">
        <v>100</v>
      </c>
      <c r="D70" s="316">
        <v>100</v>
      </c>
      <c r="E70" s="316">
        <v>100</v>
      </c>
      <c r="F70" s="316">
        <v>100</v>
      </c>
      <c r="G70" s="3"/>
      <c r="H70" s="3"/>
    </row>
    <row r="71" spans="1:8" x14ac:dyDescent="0.2">
      <c r="A71" s="12" t="s">
        <v>1059</v>
      </c>
      <c r="B71" s="10" t="s">
        <v>927</v>
      </c>
      <c r="C71" s="316">
        <v>100</v>
      </c>
      <c r="D71" s="316">
        <v>100</v>
      </c>
      <c r="E71" s="316">
        <v>100</v>
      </c>
      <c r="F71" s="316">
        <v>100</v>
      </c>
      <c r="G71" s="3"/>
      <c r="H71" s="3"/>
    </row>
    <row r="72" spans="1:8" x14ac:dyDescent="0.2">
      <c r="A72" s="12" t="s">
        <v>1060</v>
      </c>
      <c r="B72" s="10" t="s">
        <v>982</v>
      </c>
      <c r="C72" s="316">
        <v>100</v>
      </c>
      <c r="D72" s="316">
        <v>100</v>
      </c>
      <c r="E72" s="316">
        <v>100</v>
      </c>
      <c r="F72" s="316">
        <v>100</v>
      </c>
      <c r="G72" s="3"/>
      <c r="H72" s="3"/>
    </row>
    <row r="73" spans="1:8" x14ac:dyDescent="0.2">
      <c r="A73" s="12" t="s">
        <v>1061</v>
      </c>
      <c r="B73" s="10" t="s">
        <v>938</v>
      </c>
      <c r="C73" s="316">
        <v>100</v>
      </c>
      <c r="D73" s="316">
        <v>100</v>
      </c>
      <c r="E73" s="316">
        <v>100</v>
      </c>
      <c r="F73" s="316">
        <v>100</v>
      </c>
      <c r="G73" s="3"/>
      <c r="H73" s="3"/>
    </row>
    <row r="74" spans="1:8" x14ac:dyDescent="0.2">
      <c r="A74" s="12" t="s">
        <v>1062</v>
      </c>
      <c r="B74" s="10" t="s">
        <v>927</v>
      </c>
      <c r="C74" s="316">
        <v>100</v>
      </c>
      <c r="D74" s="316">
        <v>100</v>
      </c>
      <c r="E74" s="316">
        <v>100</v>
      </c>
      <c r="F74" s="316">
        <v>100</v>
      </c>
      <c r="G74" s="3"/>
      <c r="H74" s="3"/>
    </row>
    <row r="75" spans="1:8" x14ac:dyDescent="0.2">
      <c r="A75" s="12" t="s">
        <v>1063</v>
      </c>
      <c r="B75" s="10" t="s">
        <v>926</v>
      </c>
      <c r="C75" s="316">
        <v>100</v>
      </c>
      <c r="D75" s="316">
        <v>100</v>
      </c>
      <c r="E75" s="316">
        <v>100</v>
      </c>
      <c r="F75" s="316">
        <v>100</v>
      </c>
      <c r="G75" s="3"/>
      <c r="H75" s="3"/>
    </row>
    <row r="76" spans="1:8" x14ac:dyDescent="0.2">
      <c r="A76" s="12" t="s">
        <v>1064</v>
      </c>
      <c r="B76" s="10" t="s">
        <v>982</v>
      </c>
      <c r="C76" s="316">
        <v>100</v>
      </c>
      <c r="D76" s="316">
        <v>100</v>
      </c>
      <c r="E76" s="316">
        <v>100</v>
      </c>
      <c r="F76" s="316">
        <v>100</v>
      </c>
      <c r="G76" s="3"/>
      <c r="H76" s="3"/>
    </row>
    <row r="77" spans="1:8" x14ac:dyDescent="0.2">
      <c r="A77" s="12" t="s">
        <v>1065</v>
      </c>
      <c r="B77" s="10" t="s">
        <v>956</v>
      </c>
      <c r="C77" s="316">
        <v>100</v>
      </c>
      <c r="D77" s="316">
        <v>100</v>
      </c>
      <c r="E77" s="316">
        <v>100</v>
      </c>
      <c r="F77" s="316">
        <v>100</v>
      </c>
      <c r="G77" s="3"/>
      <c r="H77" s="3"/>
    </row>
    <row r="78" spans="1:8" x14ac:dyDescent="0.2">
      <c r="A78" s="12" t="s">
        <v>1066</v>
      </c>
      <c r="B78" s="10" t="s">
        <v>978</v>
      </c>
      <c r="C78" s="316">
        <v>100</v>
      </c>
      <c r="D78" s="316">
        <v>100</v>
      </c>
      <c r="E78" s="316">
        <v>100</v>
      </c>
      <c r="F78" s="316">
        <v>100</v>
      </c>
      <c r="G78" s="3"/>
      <c r="H78" s="3"/>
    </row>
    <row r="79" spans="1:8" x14ac:dyDescent="0.2">
      <c r="A79" s="12" t="s">
        <v>1067</v>
      </c>
      <c r="B79" s="10" t="s">
        <v>974</v>
      </c>
      <c r="C79" s="316">
        <v>100</v>
      </c>
      <c r="D79" s="316">
        <v>100</v>
      </c>
      <c r="E79" s="316">
        <v>100</v>
      </c>
      <c r="F79" s="316">
        <v>100</v>
      </c>
      <c r="G79" s="3"/>
      <c r="H79" s="3"/>
    </row>
    <row r="80" spans="1:8" x14ac:dyDescent="0.2">
      <c r="A80" s="12" t="s">
        <v>1068</v>
      </c>
      <c r="B80" s="10" t="s">
        <v>927</v>
      </c>
      <c r="C80" s="316">
        <v>100</v>
      </c>
      <c r="D80" s="316">
        <v>100</v>
      </c>
      <c r="E80" s="316">
        <v>100</v>
      </c>
      <c r="F80" s="316">
        <v>100</v>
      </c>
      <c r="G80" s="3"/>
      <c r="H80" s="3"/>
    </row>
    <row r="81" spans="1:8" x14ac:dyDescent="0.2">
      <c r="A81" s="12" t="s">
        <v>1069</v>
      </c>
      <c r="B81" s="10" t="s">
        <v>974</v>
      </c>
      <c r="C81" s="316">
        <v>100</v>
      </c>
      <c r="D81" s="316">
        <v>100</v>
      </c>
      <c r="E81" s="316">
        <v>100</v>
      </c>
      <c r="F81" s="316">
        <v>100</v>
      </c>
      <c r="G81" s="3"/>
      <c r="H81" s="3"/>
    </row>
    <row r="82" spans="1:8" x14ac:dyDescent="0.2">
      <c r="A82" s="12" t="s">
        <v>1070</v>
      </c>
      <c r="B82" s="10" t="s">
        <v>961</v>
      </c>
      <c r="C82" s="316">
        <v>100</v>
      </c>
      <c r="D82" s="316">
        <v>100</v>
      </c>
      <c r="E82" s="316">
        <v>100</v>
      </c>
      <c r="F82" s="316">
        <v>100</v>
      </c>
      <c r="G82" s="3"/>
      <c r="H82" s="3"/>
    </row>
    <row r="83" spans="1:8" x14ac:dyDescent="0.2">
      <c r="A83" s="12" t="s">
        <v>1071</v>
      </c>
      <c r="B83" s="10" t="s">
        <v>938</v>
      </c>
      <c r="C83" s="316">
        <v>100</v>
      </c>
      <c r="D83" s="316">
        <v>100</v>
      </c>
      <c r="E83" s="316">
        <v>100</v>
      </c>
      <c r="F83" s="316">
        <v>100</v>
      </c>
      <c r="G83" s="3"/>
      <c r="H83" s="3"/>
    </row>
    <row r="84" spans="1:8" x14ac:dyDescent="0.2">
      <c r="A84" s="12" t="s">
        <v>1072</v>
      </c>
      <c r="B84" s="10" t="s">
        <v>962</v>
      </c>
      <c r="C84" s="316">
        <v>100</v>
      </c>
      <c r="D84" s="316">
        <v>100</v>
      </c>
      <c r="E84" s="316">
        <v>100</v>
      </c>
      <c r="F84" s="316">
        <v>100</v>
      </c>
      <c r="G84" s="3"/>
      <c r="H84" s="3"/>
    </row>
    <row r="85" spans="1:8" x14ac:dyDescent="0.2">
      <c r="A85" s="12" t="s">
        <v>1073</v>
      </c>
      <c r="B85" s="11" t="s">
        <v>982</v>
      </c>
      <c r="C85" s="317">
        <v>100</v>
      </c>
      <c r="D85" s="316">
        <v>100</v>
      </c>
      <c r="E85" s="317">
        <v>100</v>
      </c>
      <c r="F85" s="317">
        <v>100</v>
      </c>
      <c r="G85" s="3"/>
      <c r="H85" s="3"/>
    </row>
    <row r="86" spans="1:8" x14ac:dyDescent="0.2">
      <c r="A86" s="12" t="s">
        <v>1074</v>
      </c>
      <c r="B86" s="11" t="s">
        <v>987</v>
      </c>
      <c r="C86" s="317">
        <v>100</v>
      </c>
      <c r="D86" s="316">
        <v>100</v>
      </c>
      <c r="E86" s="317">
        <v>100</v>
      </c>
      <c r="F86" s="317">
        <v>100</v>
      </c>
      <c r="G86" s="3"/>
      <c r="H86" s="3"/>
    </row>
    <row r="87" spans="1:8" x14ac:dyDescent="0.2">
      <c r="A87" s="12" t="s">
        <v>1075</v>
      </c>
      <c r="B87" s="10" t="s">
        <v>982</v>
      </c>
      <c r="C87" s="316">
        <v>100</v>
      </c>
      <c r="D87" s="316">
        <v>100</v>
      </c>
      <c r="E87" s="316">
        <v>100</v>
      </c>
      <c r="F87" s="316">
        <v>100</v>
      </c>
      <c r="G87" s="3"/>
      <c r="H87" s="3"/>
    </row>
    <row r="88" spans="1:8" x14ac:dyDescent="0.2">
      <c r="A88" s="12" t="s">
        <v>1076</v>
      </c>
      <c r="B88" s="10" t="s">
        <v>990</v>
      </c>
      <c r="C88" s="316">
        <v>100</v>
      </c>
      <c r="D88" s="316">
        <v>100</v>
      </c>
      <c r="E88" s="316">
        <v>100</v>
      </c>
      <c r="F88" s="316">
        <v>100</v>
      </c>
      <c r="G88" s="3"/>
      <c r="H88" s="3"/>
    </row>
    <row r="89" spans="1:8" x14ac:dyDescent="0.2">
      <c r="A89" s="12" t="s">
        <v>1077</v>
      </c>
      <c r="B89" s="10" t="s">
        <v>982</v>
      </c>
      <c r="C89" s="316">
        <v>100</v>
      </c>
      <c r="D89" s="316">
        <v>100</v>
      </c>
      <c r="E89" s="316">
        <v>100</v>
      </c>
      <c r="F89" s="316">
        <v>100</v>
      </c>
      <c r="G89" s="3"/>
      <c r="H89" s="3"/>
    </row>
    <row r="90" spans="1:8" x14ac:dyDescent="0.2">
      <c r="A90" s="12" t="s">
        <v>1078</v>
      </c>
      <c r="B90" s="10" t="s">
        <v>949</v>
      </c>
      <c r="C90" s="316">
        <v>100</v>
      </c>
      <c r="D90" s="316">
        <v>100</v>
      </c>
      <c r="E90" s="316">
        <v>100</v>
      </c>
      <c r="F90" s="316">
        <v>100</v>
      </c>
      <c r="G90" s="3"/>
      <c r="H90" s="3"/>
    </row>
    <row r="91" spans="1:8" x14ac:dyDescent="0.2">
      <c r="A91" s="12" t="s">
        <v>1079</v>
      </c>
      <c r="B91" s="10" t="s">
        <v>961</v>
      </c>
      <c r="C91" s="316">
        <v>100</v>
      </c>
      <c r="D91" s="316">
        <v>100</v>
      </c>
      <c r="E91" s="316">
        <v>100</v>
      </c>
      <c r="F91" s="316">
        <v>100</v>
      </c>
      <c r="G91" s="3"/>
      <c r="H91" s="3"/>
    </row>
    <row r="92" spans="1:8" x14ac:dyDescent="0.2">
      <c r="A92" s="12" t="s">
        <v>1080</v>
      </c>
      <c r="B92" s="10" t="s">
        <v>978</v>
      </c>
      <c r="C92" s="316">
        <v>100</v>
      </c>
      <c r="D92" s="316">
        <v>100</v>
      </c>
      <c r="E92" s="316">
        <v>100</v>
      </c>
      <c r="F92" s="316">
        <v>100</v>
      </c>
      <c r="G92" s="3"/>
      <c r="H92" s="3"/>
    </row>
    <row r="93" spans="1:8" x14ac:dyDescent="0.2">
      <c r="A93" s="12" t="s">
        <v>1081</v>
      </c>
      <c r="B93" s="10" t="s">
        <v>961</v>
      </c>
      <c r="C93" s="316">
        <v>100</v>
      </c>
      <c r="D93" s="316">
        <v>100</v>
      </c>
      <c r="E93" s="316">
        <v>100</v>
      </c>
      <c r="F93" s="316">
        <v>100</v>
      </c>
      <c r="G93" s="3"/>
      <c r="H93" s="3"/>
    </row>
    <row r="94" spans="1:8" x14ac:dyDescent="0.2">
      <c r="A94" s="12" t="s">
        <v>951</v>
      </c>
      <c r="B94" s="10" t="s">
        <v>957</v>
      </c>
      <c r="C94" s="316">
        <v>200</v>
      </c>
      <c r="D94" s="316">
        <v>100</v>
      </c>
      <c r="E94" s="316">
        <v>200</v>
      </c>
      <c r="F94" s="316">
        <v>100</v>
      </c>
      <c r="G94" s="3"/>
      <c r="H94" s="3"/>
    </row>
    <row r="95" spans="1:8" x14ac:dyDescent="0.2">
      <c r="A95" s="12" t="s">
        <v>1082</v>
      </c>
      <c r="B95" s="10" t="s">
        <v>926</v>
      </c>
      <c r="C95" s="316">
        <v>100</v>
      </c>
      <c r="D95" s="316">
        <v>100</v>
      </c>
      <c r="E95" s="316">
        <v>100</v>
      </c>
      <c r="F95" s="316">
        <v>100</v>
      </c>
      <c r="G95" s="3"/>
      <c r="H95" s="3"/>
    </row>
    <row r="96" spans="1:8" x14ac:dyDescent="0.2">
      <c r="A96" s="12" t="s">
        <v>1083</v>
      </c>
      <c r="B96" s="10" t="s">
        <v>990</v>
      </c>
      <c r="C96" s="316">
        <v>100</v>
      </c>
      <c r="D96" s="316">
        <v>100</v>
      </c>
      <c r="E96" s="316">
        <v>100</v>
      </c>
      <c r="F96" s="316">
        <v>100</v>
      </c>
      <c r="G96" s="3"/>
      <c r="H96" s="3"/>
    </row>
    <row r="97" spans="1:8" x14ac:dyDescent="0.2">
      <c r="A97" s="12" t="s">
        <v>1084</v>
      </c>
      <c r="B97" s="10" t="s">
        <v>962</v>
      </c>
      <c r="C97" s="316">
        <v>100</v>
      </c>
      <c r="D97" s="316">
        <v>100</v>
      </c>
      <c r="E97" s="316">
        <v>100</v>
      </c>
      <c r="F97" s="316">
        <v>100</v>
      </c>
      <c r="G97" s="3"/>
      <c r="H97" s="3"/>
    </row>
    <row r="98" spans="1:8" x14ac:dyDescent="0.2">
      <c r="A98" s="12" t="s">
        <v>1085</v>
      </c>
      <c r="B98" s="10" t="s">
        <v>938</v>
      </c>
      <c r="C98" s="316">
        <v>100</v>
      </c>
      <c r="D98" s="316">
        <v>100</v>
      </c>
      <c r="E98" s="316">
        <v>100</v>
      </c>
      <c r="F98" s="316">
        <v>100</v>
      </c>
      <c r="G98" s="3"/>
      <c r="H98" s="3"/>
    </row>
    <row r="99" spans="1:8" x14ac:dyDescent="0.2">
      <c r="A99" s="12" t="s">
        <v>959</v>
      </c>
      <c r="B99" s="10" t="s">
        <v>957</v>
      </c>
      <c r="C99" s="316">
        <v>200</v>
      </c>
      <c r="D99" s="316">
        <v>100</v>
      </c>
      <c r="E99" s="316">
        <v>200</v>
      </c>
      <c r="F99" s="316">
        <v>100</v>
      </c>
      <c r="G99" s="3"/>
      <c r="H99" s="3"/>
    </row>
    <row r="100" spans="1:8" x14ac:dyDescent="0.2">
      <c r="A100" s="12" t="s">
        <v>1086</v>
      </c>
      <c r="B100" s="10" t="s">
        <v>978</v>
      </c>
      <c r="C100" s="316">
        <v>100</v>
      </c>
      <c r="D100" s="316">
        <v>100</v>
      </c>
      <c r="E100" s="316">
        <v>100</v>
      </c>
      <c r="F100" s="316">
        <v>100</v>
      </c>
      <c r="G100" s="3"/>
      <c r="H100" s="3"/>
    </row>
    <row r="101" spans="1:8" x14ac:dyDescent="0.2">
      <c r="A101" s="12" t="s">
        <v>1087</v>
      </c>
      <c r="B101" s="10" t="s">
        <v>962</v>
      </c>
      <c r="C101" s="316">
        <v>100</v>
      </c>
      <c r="D101" s="316">
        <v>100</v>
      </c>
      <c r="E101" s="316">
        <v>100</v>
      </c>
      <c r="F101" s="316">
        <v>100</v>
      </c>
      <c r="G101" s="3"/>
      <c r="H101" s="3"/>
    </row>
    <row r="102" spans="1:8" x14ac:dyDescent="0.2">
      <c r="A102" s="12" t="s">
        <v>1088</v>
      </c>
      <c r="B102" s="10" t="s">
        <v>938</v>
      </c>
      <c r="C102" s="316">
        <v>100</v>
      </c>
      <c r="D102" s="316">
        <v>100</v>
      </c>
      <c r="E102" s="316">
        <v>100</v>
      </c>
      <c r="F102" s="316">
        <v>100</v>
      </c>
      <c r="G102" s="3"/>
      <c r="H102" s="3"/>
    </row>
    <row r="103" spans="1:8" x14ac:dyDescent="0.2">
      <c r="A103" s="12" t="s">
        <v>1089</v>
      </c>
      <c r="B103" s="10" t="s">
        <v>956</v>
      </c>
      <c r="C103" s="316">
        <v>100</v>
      </c>
      <c r="D103" s="316">
        <v>100</v>
      </c>
      <c r="E103" s="316">
        <v>100</v>
      </c>
      <c r="F103" s="316">
        <v>100</v>
      </c>
      <c r="G103" s="3"/>
      <c r="H103" s="3"/>
    </row>
    <row r="104" spans="1:8" x14ac:dyDescent="0.2">
      <c r="A104" s="12" t="s">
        <v>1090</v>
      </c>
      <c r="B104" s="10" t="s">
        <v>956</v>
      </c>
      <c r="C104" s="316">
        <v>100</v>
      </c>
      <c r="D104" s="316">
        <v>100</v>
      </c>
      <c r="E104" s="316">
        <v>100</v>
      </c>
      <c r="F104" s="316">
        <v>100</v>
      </c>
      <c r="G104" s="3"/>
      <c r="H104" s="3"/>
    </row>
    <row r="105" spans="1:8" x14ac:dyDescent="0.2">
      <c r="A105" s="12" t="s">
        <v>1091</v>
      </c>
      <c r="B105" s="10" t="s">
        <v>927</v>
      </c>
      <c r="C105" s="316">
        <v>100</v>
      </c>
      <c r="D105" s="316">
        <v>100</v>
      </c>
      <c r="E105" s="316">
        <v>100</v>
      </c>
      <c r="F105" s="316">
        <v>100</v>
      </c>
      <c r="G105" s="3"/>
      <c r="H105" s="3"/>
    </row>
    <row r="106" spans="1:8" x14ac:dyDescent="0.2">
      <c r="A106" s="12" t="s">
        <v>1092</v>
      </c>
      <c r="B106" s="10" t="s">
        <v>982</v>
      </c>
      <c r="C106" s="316">
        <v>100</v>
      </c>
      <c r="D106" s="316">
        <v>100</v>
      </c>
      <c r="E106" s="316">
        <v>100</v>
      </c>
      <c r="F106" s="316">
        <v>100</v>
      </c>
      <c r="G106" s="3"/>
      <c r="H106" s="3"/>
    </row>
    <row r="107" spans="1:8" x14ac:dyDescent="0.2">
      <c r="A107" s="12" t="s">
        <v>1093</v>
      </c>
      <c r="B107" s="10" t="s">
        <v>926</v>
      </c>
      <c r="C107" s="316">
        <v>100</v>
      </c>
      <c r="D107" s="316">
        <v>100</v>
      </c>
      <c r="E107" s="316">
        <v>100</v>
      </c>
      <c r="F107" s="316">
        <v>100</v>
      </c>
      <c r="G107" s="3"/>
      <c r="H107" s="3"/>
    </row>
    <row r="108" spans="1:8" x14ac:dyDescent="0.2">
      <c r="A108" s="12" t="s">
        <v>1094</v>
      </c>
      <c r="B108" s="10" t="s">
        <v>990</v>
      </c>
      <c r="C108" s="316">
        <v>100</v>
      </c>
      <c r="D108" s="316">
        <v>100</v>
      </c>
      <c r="E108" s="316">
        <v>100</v>
      </c>
      <c r="F108" s="316">
        <v>100</v>
      </c>
      <c r="G108" s="3"/>
      <c r="H108" s="3"/>
    </row>
    <row r="109" spans="1:8" x14ac:dyDescent="0.2">
      <c r="A109" s="12" t="s">
        <v>1095</v>
      </c>
      <c r="B109" s="10" t="s">
        <v>962</v>
      </c>
      <c r="C109" s="316">
        <v>100</v>
      </c>
      <c r="D109" s="316">
        <v>100</v>
      </c>
      <c r="E109" s="316">
        <v>100</v>
      </c>
      <c r="F109" s="316">
        <v>100</v>
      </c>
      <c r="G109" s="3"/>
      <c r="H109" s="3"/>
    </row>
    <row r="110" spans="1:8" x14ac:dyDescent="0.2">
      <c r="A110" s="12" t="s">
        <v>1096</v>
      </c>
      <c r="B110" s="10" t="s">
        <v>978</v>
      </c>
      <c r="C110" s="316">
        <v>100</v>
      </c>
      <c r="D110" s="316">
        <v>100</v>
      </c>
      <c r="E110" s="316">
        <v>100</v>
      </c>
      <c r="F110" s="316">
        <v>100</v>
      </c>
      <c r="G110" s="3"/>
      <c r="H110" s="3"/>
    </row>
    <row r="111" spans="1:8" x14ac:dyDescent="0.2">
      <c r="A111" s="12" t="s">
        <v>1097</v>
      </c>
      <c r="B111" s="10" t="s">
        <v>927</v>
      </c>
      <c r="C111" s="316">
        <v>100</v>
      </c>
      <c r="D111" s="316">
        <v>100</v>
      </c>
      <c r="E111" s="316">
        <v>100</v>
      </c>
      <c r="F111" s="316">
        <v>100</v>
      </c>
      <c r="G111" s="3"/>
      <c r="H111" s="3"/>
    </row>
    <row r="112" spans="1:8" x14ac:dyDescent="0.2">
      <c r="A112" s="12" t="s">
        <v>1098</v>
      </c>
      <c r="B112" s="10" t="s">
        <v>990</v>
      </c>
      <c r="C112" s="316">
        <v>100</v>
      </c>
      <c r="D112" s="316">
        <v>100</v>
      </c>
      <c r="E112" s="316">
        <v>100</v>
      </c>
      <c r="F112" s="316">
        <v>100</v>
      </c>
      <c r="G112" s="3"/>
      <c r="H112" s="3"/>
    </row>
    <row r="113" spans="1:8" x14ac:dyDescent="0.2">
      <c r="A113" s="12" t="s">
        <v>1099</v>
      </c>
      <c r="B113" s="10" t="s">
        <v>1100</v>
      </c>
      <c r="C113" s="316">
        <v>100</v>
      </c>
      <c r="D113" s="316">
        <v>100</v>
      </c>
      <c r="E113" s="316">
        <v>100</v>
      </c>
      <c r="F113" s="316">
        <v>100</v>
      </c>
      <c r="G113" s="3"/>
      <c r="H113" s="3"/>
    </row>
    <row r="114" spans="1:8" x14ac:dyDescent="0.2">
      <c r="A114" s="12" t="s">
        <v>1101</v>
      </c>
      <c r="B114" s="10" t="s">
        <v>961</v>
      </c>
      <c r="C114" s="316">
        <v>100</v>
      </c>
      <c r="D114" s="316">
        <v>100</v>
      </c>
      <c r="E114" s="316">
        <v>100</v>
      </c>
      <c r="F114" s="316">
        <v>100</v>
      </c>
      <c r="G114" s="3"/>
      <c r="H114" s="3"/>
    </row>
    <row r="115" spans="1:8" x14ac:dyDescent="0.2">
      <c r="A115" s="12" t="s">
        <v>1102</v>
      </c>
      <c r="B115" s="10" t="s">
        <v>939</v>
      </c>
      <c r="C115" s="316">
        <v>100</v>
      </c>
      <c r="D115" s="316">
        <v>100</v>
      </c>
      <c r="E115" s="316">
        <v>100</v>
      </c>
      <c r="F115" s="316">
        <v>100</v>
      </c>
      <c r="G115" s="3"/>
      <c r="H115" s="3"/>
    </row>
    <row r="116" spans="1:8" x14ac:dyDescent="0.2">
      <c r="A116" s="12" t="s">
        <v>964</v>
      </c>
      <c r="B116" s="10" t="s">
        <v>957</v>
      </c>
      <c r="C116" s="316">
        <v>200</v>
      </c>
      <c r="D116" s="316">
        <v>100</v>
      </c>
      <c r="E116" s="316">
        <v>200</v>
      </c>
      <c r="F116" s="316">
        <v>100</v>
      </c>
      <c r="G116" s="3"/>
      <c r="H116" s="3"/>
    </row>
    <row r="117" spans="1:8" x14ac:dyDescent="0.2">
      <c r="A117" s="12" t="s">
        <v>1103</v>
      </c>
      <c r="B117" s="10" t="s">
        <v>926</v>
      </c>
      <c r="C117" s="316">
        <v>100</v>
      </c>
      <c r="D117" s="316">
        <v>100</v>
      </c>
      <c r="E117" s="316">
        <v>100</v>
      </c>
      <c r="F117" s="316">
        <v>100</v>
      </c>
      <c r="G117" s="3"/>
      <c r="H117" s="3"/>
    </row>
    <row r="118" spans="1:8" x14ac:dyDescent="0.2">
      <c r="A118" s="12" t="s">
        <v>1104</v>
      </c>
      <c r="B118" s="10" t="s">
        <v>927</v>
      </c>
      <c r="C118" s="316">
        <v>100</v>
      </c>
      <c r="D118" s="316">
        <v>100</v>
      </c>
      <c r="E118" s="316">
        <v>100</v>
      </c>
      <c r="F118" s="316">
        <v>100</v>
      </c>
      <c r="G118" s="3"/>
      <c r="H118" s="3"/>
    </row>
    <row r="119" spans="1:8" x14ac:dyDescent="0.2">
      <c r="A119" s="12" t="s">
        <v>1105</v>
      </c>
      <c r="B119" s="10" t="s">
        <v>961</v>
      </c>
      <c r="C119" s="316">
        <v>100</v>
      </c>
      <c r="D119" s="316">
        <v>100</v>
      </c>
      <c r="E119" s="316">
        <v>100</v>
      </c>
      <c r="F119" s="316">
        <v>100</v>
      </c>
      <c r="G119" s="3"/>
      <c r="H119" s="3"/>
    </row>
    <row r="120" spans="1:8" x14ac:dyDescent="0.2">
      <c r="A120" s="12" t="s">
        <v>1106</v>
      </c>
      <c r="B120" s="10" t="s">
        <v>949</v>
      </c>
      <c r="C120" s="316">
        <v>100</v>
      </c>
      <c r="D120" s="316">
        <v>100</v>
      </c>
      <c r="E120" s="316">
        <v>100</v>
      </c>
      <c r="F120" s="316">
        <v>100</v>
      </c>
      <c r="G120" s="3"/>
      <c r="H120" s="3"/>
    </row>
    <row r="121" spans="1:8" x14ac:dyDescent="0.2">
      <c r="A121" s="12" t="s">
        <v>1107</v>
      </c>
      <c r="B121" s="10" t="s">
        <v>927</v>
      </c>
      <c r="C121" s="316">
        <v>100</v>
      </c>
      <c r="D121" s="316">
        <v>100</v>
      </c>
      <c r="E121" s="316">
        <v>100</v>
      </c>
      <c r="F121" s="316">
        <v>100</v>
      </c>
      <c r="G121" s="3"/>
      <c r="H121" s="3"/>
    </row>
    <row r="122" spans="1:8" x14ac:dyDescent="0.2">
      <c r="A122" s="12" t="s">
        <v>1108</v>
      </c>
      <c r="B122" s="10" t="s">
        <v>926</v>
      </c>
      <c r="C122" s="316">
        <v>100</v>
      </c>
      <c r="D122" s="316">
        <v>100</v>
      </c>
      <c r="E122" s="316">
        <v>100</v>
      </c>
      <c r="F122" s="316">
        <v>100</v>
      </c>
      <c r="G122" s="3"/>
      <c r="H122" s="3"/>
    </row>
    <row r="123" spans="1:8" x14ac:dyDescent="0.2">
      <c r="A123" s="12" t="s">
        <v>1109</v>
      </c>
      <c r="B123" s="10" t="s">
        <v>970</v>
      </c>
      <c r="C123" s="316">
        <v>300</v>
      </c>
      <c r="D123" s="316">
        <v>100</v>
      </c>
      <c r="E123" s="316">
        <v>200</v>
      </c>
      <c r="F123" s="316">
        <v>200</v>
      </c>
      <c r="G123" s="3"/>
      <c r="H123" s="3"/>
    </row>
    <row r="124" spans="1:8" x14ac:dyDescent="0.2">
      <c r="A124" s="12" t="s">
        <v>1110</v>
      </c>
      <c r="B124" s="10" t="s">
        <v>990</v>
      </c>
      <c r="C124" s="316">
        <v>100</v>
      </c>
      <c r="D124" s="316">
        <v>100</v>
      </c>
      <c r="E124" s="316">
        <v>100</v>
      </c>
      <c r="F124" s="316">
        <v>100</v>
      </c>
      <c r="G124" s="3"/>
      <c r="H124" s="3"/>
    </row>
    <row r="125" spans="1:8" x14ac:dyDescent="0.2">
      <c r="A125" s="12" t="s">
        <v>1111</v>
      </c>
      <c r="B125" s="10" t="s">
        <v>978</v>
      </c>
      <c r="C125" s="316">
        <v>100</v>
      </c>
      <c r="D125" s="316">
        <v>100</v>
      </c>
      <c r="E125" s="316">
        <v>100</v>
      </c>
      <c r="F125" s="316">
        <v>100</v>
      </c>
      <c r="G125" s="3"/>
      <c r="H125" s="3"/>
    </row>
    <row r="126" spans="1:8" x14ac:dyDescent="0.2">
      <c r="A126" s="12" t="s">
        <v>1112</v>
      </c>
      <c r="B126" s="10" t="s">
        <v>982</v>
      </c>
      <c r="C126" s="316">
        <v>100</v>
      </c>
      <c r="D126" s="316">
        <v>100</v>
      </c>
      <c r="E126" s="316">
        <v>100</v>
      </c>
      <c r="F126" s="316">
        <v>100</v>
      </c>
      <c r="G126" s="3"/>
      <c r="H126" s="3"/>
    </row>
    <row r="127" spans="1:8" x14ac:dyDescent="0.2">
      <c r="A127" s="12" t="s">
        <v>1113</v>
      </c>
      <c r="B127" s="10" t="s">
        <v>926</v>
      </c>
      <c r="C127" s="316">
        <v>100</v>
      </c>
      <c r="D127" s="316">
        <v>100</v>
      </c>
      <c r="E127" s="316">
        <v>100</v>
      </c>
      <c r="F127" s="316">
        <v>100</v>
      </c>
      <c r="G127" s="3"/>
      <c r="H127" s="3"/>
    </row>
    <row r="128" spans="1:8" x14ac:dyDescent="0.2">
      <c r="A128" s="12" t="s">
        <v>1114</v>
      </c>
      <c r="B128" s="10" t="s">
        <v>939</v>
      </c>
      <c r="C128" s="316">
        <v>100</v>
      </c>
      <c r="D128" s="316">
        <v>100</v>
      </c>
      <c r="E128" s="316">
        <v>100</v>
      </c>
      <c r="F128" s="316">
        <v>100</v>
      </c>
      <c r="G128" s="3"/>
      <c r="H128" s="3"/>
    </row>
    <row r="129" spans="1:8" x14ac:dyDescent="0.2">
      <c r="A129" s="12" t="s">
        <v>1115</v>
      </c>
      <c r="B129" s="10" t="s">
        <v>938</v>
      </c>
      <c r="C129" s="316">
        <v>100</v>
      </c>
      <c r="D129" s="316">
        <v>100</v>
      </c>
      <c r="E129" s="316">
        <v>100</v>
      </c>
      <c r="F129" s="316">
        <v>100</v>
      </c>
      <c r="G129" s="3"/>
      <c r="H129" s="3"/>
    </row>
    <row r="130" spans="1:8" x14ac:dyDescent="0.2">
      <c r="A130" s="12" t="s">
        <v>1116</v>
      </c>
      <c r="B130" s="10" t="s">
        <v>987</v>
      </c>
      <c r="C130" s="316">
        <v>100</v>
      </c>
      <c r="D130" s="316">
        <v>100</v>
      </c>
      <c r="E130" s="316">
        <v>100</v>
      </c>
      <c r="F130" s="316">
        <v>100</v>
      </c>
      <c r="G130" s="3"/>
      <c r="H130" s="3"/>
    </row>
    <row r="131" spans="1:8" x14ac:dyDescent="0.2">
      <c r="A131" s="12" t="s">
        <v>1117</v>
      </c>
      <c r="B131" s="10" t="s">
        <v>982</v>
      </c>
      <c r="C131" s="316">
        <v>100</v>
      </c>
      <c r="D131" s="316">
        <v>100</v>
      </c>
      <c r="E131" s="316">
        <v>100</v>
      </c>
      <c r="F131" s="316">
        <v>100</v>
      </c>
      <c r="G131" s="3"/>
      <c r="H131" s="3"/>
    </row>
    <row r="132" spans="1:8" x14ac:dyDescent="0.2">
      <c r="A132" s="12" t="s">
        <v>1118</v>
      </c>
      <c r="B132" s="10" t="s">
        <v>927</v>
      </c>
      <c r="C132" s="316">
        <v>100</v>
      </c>
      <c r="D132" s="316">
        <v>100</v>
      </c>
      <c r="E132" s="316">
        <v>100</v>
      </c>
      <c r="F132" s="316">
        <v>100</v>
      </c>
      <c r="G132" s="3"/>
      <c r="H132" s="3"/>
    </row>
    <row r="133" spans="1:8" x14ac:dyDescent="0.2">
      <c r="A133" s="12" t="s">
        <v>1119</v>
      </c>
      <c r="B133" s="10" t="s">
        <v>993</v>
      </c>
      <c r="C133" s="316">
        <v>100</v>
      </c>
      <c r="D133" s="316">
        <v>100</v>
      </c>
      <c r="E133" s="316">
        <v>100</v>
      </c>
      <c r="F133" s="316">
        <v>100</v>
      </c>
      <c r="G133" s="3"/>
      <c r="H133" s="3"/>
    </row>
    <row r="134" spans="1:8" x14ac:dyDescent="0.2">
      <c r="A134" s="12" t="s">
        <v>1120</v>
      </c>
      <c r="B134" s="10" t="s">
        <v>961</v>
      </c>
      <c r="C134" s="316">
        <v>100</v>
      </c>
      <c r="D134" s="316">
        <v>100</v>
      </c>
      <c r="E134" s="316">
        <v>100</v>
      </c>
      <c r="F134" s="316">
        <v>100</v>
      </c>
      <c r="G134" s="3"/>
      <c r="H134" s="3"/>
    </row>
    <row r="135" spans="1:8" x14ac:dyDescent="0.2">
      <c r="A135" s="12" t="s">
        <v>1121</v>
      </c>
      <c r="B135" s="10" t="s">
        <v>956</v>
      </c>
      <c r="C135" s="316">
        <v>100</v>
      </c>
      <c r="D135" s="316">
        <v>100</v>
      </c>
      <c r="E135" s="316">
        <v>100</v>
      </c>
      <c r="F135" s="316">
        <v>100</v>
      </c>
      <c r="G135" s="3"/>
      <c r="H135" s="3"/>
    </row>
    <row r="136" spans="1:8" x14ac:dyDescent="0.2">
      <c r="A136" s="12" t="s">
        <v>1122</v>
      </c>
      <c r="B136" s="10" t="s">
        <v>939</v>
      </c>
      <c r="C136" s="316">
        <v>100</v>
      </c>
      <c r="D136" s="316">
        <v>100</v>
      </c>
      <c r="E136" s="316">
        <v>100</v>
      </c>
      <c r="F136" s="316">
        <v>100</v>
      </c>
      <c r="G136" s="3"/>
      <c r="H136" s="3"/>
    </row>
    <row r="137" spans="1:8" x14ac:dyDescent="0.2">
      <c r="A137" s="12" t="s">
        <v>1123</v>
      </c>
      <c r="B137" s="10" t="s">
        <v>987</v>
      </c>
      <c r="C137" s="316">
        <v>100</v>
      </c>
      <c r="D137" s="316">
        <v>100</v>
      </c>
      <c r="E137" s="316">
        <v>100</v>
      </c>
      <c r="F137" s="316">
        <v>100</v>
      </c>
      <c r="G137" s="3"/>
      <c r="H137" s="3"/>
    </row>
    <row r="138" spans="1:8" x14ac:dyDescent="0.2">
      <c r="A138" s="12" t="s">
        <v>1124</v>
      </c>
      <c r="B138" s="10" t="s">
        <v>939</v>
      </c>
      <c r="C138" s="316">
        <v>100</v>
      </c>
      <c r="D138" s="316">
        <v>100</v>
      </c>
      <c r="E138" s="316">
        <v>100</v>
      </c>
      <c r="F138" s="316">
        <v>100</v>
      </c>
      <c r="G138" s="3"/>
      <c r="H138" s="3"/>
    </row>
    <row r="139" spans="1:8" x14ac:dyDescent="0.2">
      <c r="A139" s="12" t="s">
        <v>1125</v>
      </c>
      <c r="B139" s="10" t="s">
        <v>970</v>
      </c>
      <c r="C139" s="316">
        <v>100</v>
      </c>
      <c r="D139" s="316">
        <v>100</v>
      </c>
      <c r="E139" s="316">
        <v>100</v>
      </c>
      <c r="F139" s="316">
        <v>100</v>
      </c>
      <c r="G139" s="3"/>
      <c r="H139" s="3"/>
    </row>
    <row r="140" spans="1:8" x14ac:dyDescent="0.2">
      <c r="A140" s="12" t="s">
        <v>1126</v>
      </c>
      <c r="B140" s="10" t="s">
        <v>956</v>
      </c>
      <c r="C140" s="316">
        <v>100</v>
      </c>
      <c r="D140" s="316">
        <v>100</v>
      </c>
      <c r="E140" s="316">
        <v>100</v>
      </c>
      <c r="F140" s="316">
        <v>100</v>
      </c>
      <c r="G140" s="3"/>
      <c r="H140" s="3"/>
    </row>
    <row r="141" spans="1:8" x14ac:dyDescent="0.2">
      <c r="A141" s="12" t="s">
        <v>1127</v>
      </c>
      <c r="B141" s="10" t="s">
        <v>982</v>
      </c>
      <c r="C141" s="316">
        <v>100</v>
      </c>
      <c r="D141" s="316">
        <v>100</v>
      </c>
      <c r="E141" s="316">
        <v>100</v>
      </c>
      <c r="F141" s="316">
        <v>100</v>
      </c>
      <c r="G141" s="3"/>
      <c r="H141" s="3"/>
    </row>
    <row r="142" spans="1:8" x14ac:dyDescent="0.2">
      <c r="A142" s="12" t="s">
        <v>1128</v>
      </c>
      <c r="B142" s="10" t="s">
        <v>961</v>
      </c>
      <c r="C142" s="316">
        <v>100</v>
      </c>
      <c r="D142" s="316">
        <v>100</v>
      </c>
      <c r="E142" s="316">
        <v>100</v>
      </c>
      <c r="F142" s="316">
        <v>100</v>
      </c>
      <c r="G142" s="3"/>
      <c r="H142" s="3"/>
    </row>
    <row r="143" spans="1:8" x14ac:dyDescent="0.2">
      <c r="A143" s="12" t="s">
        <v>1129</v>
      </c>
      <c r="B143" s="10" t="s">
        <v>962</v>
      </c>
      <c r="C143" s="316">
        <v>100</v>
      </c>
      <c r="D143" s="316">
        <v>100</v>
      </c>
      <c r="E143" s="316">
        <v>100</v>
      </c>
      <c r="F143" s="316">
        <v>100</v>
      </c>
      <c r="G143" s="3"/>
      <c r="H143" s="3"/>
    </row>
    <row r="144" spans="1:8" x14ac:dyDescent="0.2">
      <c r="A144" s="12" t="s">
        <v>1130</v>
      </c>
      <c r="B144" s="10" t="s">
        <v>982</v>
      </c>
      <c r="C144" s="316">
        <v>100</v>
      </c>
      <c r="D144" s="316">
        <v>100</v>
      </c>
      <c r="E144" s="316">
        <v>100</v>
      </c>
      <c r="F144" s="316">
        <v>100</v>
      </c>
      <c r="G144" s="3"/>
      <c r="H144" s="3"/>
    </row>
    <row r="145" spans="1:8" x14ac:dyDescent="0.2">
      <c r="A145" s="12" t="s">
        <v>1131</v>
      </c>
      <c r="B145" s="10" t="s">
        <v>962</v>
      </c>
      <c r="C145" s="316">
        <v>100</v>
      </c>
      <c r="D145" s="316">
        <v>100</v>
      </c>
      <c r="E145" s="316">
        <v>100</v>
      </c>
      <c r="F145" s="316">
        <v>100</v>
      </c>
      <c r="G145" s="3"/>
      <c r="H145" s="3"/>
    </row>
    <row r="146" spans="1:8" x14ac:dyDescent="0.2">
      <c r="A146" s="12" t="s">
        <v>1132</v>
      </c>
      <c r="B146" s="10" t="s">
        <v>970</v>
      </c>
      <c r="C146" s="316">
        <v>100</v>
      </c>
      <c r="D146" s="316">
        <v>100</v>
      </c>
      <c r="E146" s="316">
        <v>100</v>
      </c>
      <c r="F146" s="316">
        <v>100</v>
      </c>
      <c r="G146" s="3"/>
      <c r="H146" s="3"/>
    </row>
    <row r="147" spans="1:8" x14ac:dyDescent="0.2">
      <c r="A147" s="12" t="s">
        <v>1133</v>
      </c>
      <c r="B147" s="10" t="s">
        <v>961</v>
      </c>
      <c r="C147" s="316">
        <v>100</v>
      </c>
      <c r="D147" s="316">
        <v>100</v>
      </c>
      <c r="E147" s="316">
        <v>100</v>
      </c>
      <c r="F147" s="316">
        <v>100</v>
      </c>
      <c r="G147" s="3"/>
      <c r="H147" s="3"/>
    </row>
    <row r="148" spans="1:8" x14ac:dyDescent="0.2">
      <c r="A148" s="12" t="s">
        <v>1134</v>
      </c>
      <c r="B148" s="10" t="s">
        <v>962</v>
      </c>
      <c r="C148" s="316">
        <v>100</v>
      </c>
      <c r="D148" s="316">
        <v>100</v>
      </c>
      <c r="E148" s="316">
        <v>100</v>
      </c>
      <c r="F148" s="316">
        <v>100</v>
      </c>
      <c r="G148" s="3"/>
      <c r="H148" s="3"/>
    </row>
    <row r="149" spans="1:8" x14ac:dyDescent="0.2">
      <c r="A149" s="12" t="s">
        <v>1135</v>
      </c>
      <c r="B149" s="10" t="s">
        <v>993</v>
      </c>
      <c r="C149" s="316">
        <v>100</v>
      </c>
      <c r="D149" s="316">
        <v>100</v>
      </c>
      <c r="E149" s="316">
        <v>100</v>
      </c>
      <c r="F149" s="316">
        <v>100</v>
      </c>
      <c r="G149" s="3"/>
      <c r="H149" s="3"/>
    </row>
    <row r="150" spans="1:8" x14ac:dyDescent="0.2">
      <c r="A150" s="12" t="s">
        <v>1136</v>
      </c>
      <c r="B150" s="10" t="s">
        <v>978</v>
      </c>
      <c r="C150" s="316">
        <v>100</v>
      </c>
      <c r="D150" s="316">
        <v>100</v>
      </c>
      <c r="E150" s="316">
        <v>100</v>
      </c>
      <c r="F150" s="316">
        <v>100</v>
      </c>
      <c r="G150" s="3"/>
      <c r="H150" s="3"/>
    </row>
    <row r="151" spans="1:8" x14ac:dyDescent="0.2">
      <c r="A151" s="12" t="s">
        <v>1137</v>
      </c>
      <c r="B151" s="10" t="s">
        <v>974</v>
      </c>
      <c r="C151" s="316">
        <v>100</v>
      </c>
      <c r="D151" s="316">
        <v>100</v>
      </c>
      <c r="E151" s="316">
        <v>100</v>
      </c>
      <c r="F151" s="316">
        <v>100</v>
      </c>
      <c r="G151" s="3"/>
      <c r="H151" s="3"/>
    </row>
    <row r="152" spans="1:8" x14ac:dyDescent="0.2">
      <c r="A152" s="12" t="s">
        <v>1138</v>
      </c>
      <c r="B152" s="10" t="s">
        <v>956</v>
      </c>
      <c r="C152" s="316">
        <v>100</v>
      </c>
      <c r="D152" s="316">
        <v>100</v>
      </c>
      <c r="E152" s="316">
        <v>100</v>
      </c>
      <c r="F152" s="316">
        <v>100</v>
      </c>
      <c r="G152" s="3"/>
      <c r="H152" s="3"/>
    </row>
    <row r="153" spans="1:8" x14ac:dyDescent="0.2">
      <c r="A153" s="12" t="s">
        <v>1139</v>
      </c>
      <c r="B153" s="10" t="s">
        <v>961</v>
      </c>
      <c r="C153" s="316">
        <v>100</v>
      </c>
      <c r="D153" s="316">
        <v>100</v>
      </c>
      <c r="E153" s="316">
        <v>100</v>
      </c>
      <c r="F153" s="316">
        <v>100</v>
      </c>
      <c r="G153" s="3"/>
      <c r="H153" s="3"/>
    </row>
    <row r="154" spans="1:8" x14ac:dyDescent="0.2">
      <c r="A154" s="12" t="s">
        <v>1140</v>
      </c>
      <c r="B154" s="11" t="s">
        <v>926</v>
      </c>
      <c r="C154" s="317">
        <v>100</v>
      </c>
      <c r="D154" s="316">
        <v>100</v>
      </c>
      <c r="E154" s="317">
        <v>100</v>
      </c>
      <c r="F154" s="317">
        <v>100</v>
      </c>
      <c r="G154" s="3"/>
      <c r="H154" s="3"/>
    </row>
    <row r="155" spans="1:8" x14ac:dyDescent="0.2">
      <c r="A155" s="12" t="s">
        <v>1141</v>
      </c>
      <c r="B155" s="11" t="s">
        <v>978</v>
      </c>
      <c r="C155" s="317">
        <v>100</v>
      </c>
      <c r="D155" s="316">
        <v>100</v>
      </c>
      <c r="E155" s="317">
        <v>100</v>
      </c>
      <c r="F155" s="317">
        <v>100</v>
      </c>
      <c r="G155" s="3"/>
      <c r="H155" s="3"/>
    </row>
    <row r="156" spans="1:8" x14ac:dyDescent="0.2">
      <c r="A156" s="12" t="s">
        <v>1142</v>
      </c>
      <c r="B156" s="11" t="s">
        <v>990</v>
      </c>
      <c r="C156" s="317">
        <v>100</v>
      </c>
      <c r="D156" s="316">
        <v>100</v>
      </c>
      <c r="E156" s="317">
        <v>100</v>
      </c>
      <c r="F156" s="317">
        <v>100</v>
      </c>
      <c r="G156" s="3"/>
      <c r="H156" s="3"/>
    </row>
    <row r="157" spans="1:8" x14ac:dyDescent="0.2">
      <c r="A157" s="12" t="s">
        <v>1143</v>
      </c>
      <c r="B157" s="11" t="s">
        <v>974</v>
      </c>
      <c r="C157" s="317">
        <v>100</v>
      </c>
      <c r="D157" s="316">
        <v>100</v>
      </c>
      <c r="E157" s="317">
        <v>100</v>
      </c>
      <c r="F157" s="317">
        <v>100</v>
      </c>
      <c r="G157" s="3"/>
      <c r="H157" s="3"/>
    </row>
    <row r="158" spans="1:8" x14ac:dyDescent="0.2">
      <c r="A158" s="12" t="s">
        <v>1144</v>
      </c>
      <c r="B158" s="10" t="s">
        <v>956</v>
      </c>
      <c r="C158" s="316">
        <v>100</v>
      </c>
      <c r="D158" s="316">
        <v>100</v>
      </c>
      <c r="E158" s="316">
        <v>100</v>
      </c>
      <c r="F158" s="316">
        <v>100</v>
      </c>
      <c r="G158" s="3"/>
      <c r="H158" s="3"/>
    </row>
    <row r="159" spans="1:8" x14ac:dyDescent="0.2">
      <c r="A159" s="12" t="s">
        <v>1145</v>
      </c>
      <c r="B159" s="10" t="s">
        <v>949</v>
      </c>
      <c r="C159" s="316">
        <v>100</v>
      </c>
      <c r="D159" s="316">
        <v>100</v>
      </c>
      <c r="E159" s="316">
        <v>100</v>
      </c>
      <c r="F159" s="316">
        <v>100</v>
      </c>
      <c r="G159" s="3"/>
      <c r="H159" s="3"/>
    </row>
    <row r="160" spans="1:8" x14ac:dyDescent="0.2">
      <c r="A160" s="12" t="s">
        <v>1146</v>
      </c>
      <c r="B160" s="10" t="s">
        <v>990</v>
      </c>
      <c r="C160" s="316">
        <v>100</v>
      </c>
      <c r="D160" s="316">
        <v>100</v>
      </c>
      <c r="E160" s="316">
        <v>100</v>
      </c>
      <c r="F160" s="316">
        <v>100</v>
      </c>
      <c r="G160" s="3"/>
      <c r="H160" s="3"/>
    </row>
    <row r="161" spans="1:8" x14ac:dyDescent="0.2">
      <c r="A161" s="12" t="s">
        <v>968</v>
      </c>
      <c r="B161" s="10" t="s">
        <v>957</v>
      </c>
      <c r="C161" s="316">
        <v>200</v>
      </c>
      <c r="D161" s="316">
        <v>100</v>
      </c>
      <c r="E161" s="316">
        <v>200</v>
      </c>
      <c r="F161" s="316">
        <v>100</v>
      </c>
      <c r="G161" s="3"/>
      <c r="H161" s="3"/>
    </row>
    <row r="162" spans="1:8" x14ac:dyDescent="0.2">
      <c r="A162" s="12" t="s">
        <v>1147</v>
      </c>
      <c r="B162" s="10" t="s">
        <v>990</v>
      </c>
      <c r="C162" s="316">
        <v>100</v>
      </c>
      <c r="D162" s="316">
        <v>100</v>
      </c>
      <c r="E162" s="316">
        <v>100</v>
      </c>
      <c r="F162" s="316">
        <v>100</v>
      </c>
      <c r="G162" s="3"/>
      <c r="H162" s="3"/>
    </row>
    <row r="163" spans="1:8" x14ac:dyDescent="0.2">
      <c r="A163" s="12" t="s">
        <v>1148</v>
      </c>
      <c r="B163" s="10" t="s">
        <v>927</v>
      </c>
      <c r="C163" s="316">
        <v>100</v>
      </c>
      <c r="D163" s="316">
        <v>100</v>
      </c>
      <c r="E163" s="316">
        <v>100</v>
      </c>
      <c r="F163" s="316">
        <v>100</v>
      </c>
      <c r="G163" s="3"/>
      <c r="H163" s="3"/>
    </row>
    <row r="164" spans="1:8" x14ac:dyDescent="0.2">
      <c r="A164" s="12" t="s">
        <v>1149</v>
      </c>
      <c r="B164" s="10" t="s">
        <v>956</v>
      </c>
      <c r="C164" s="316">
        <v>100</v>
      </c>
      <c r="D164" s="316">
        <v>100</v>
      </c>
      <c r="E164" s="316">
        <v>100</v>
      </c>
      <c r="F164" s="316">
        <v>100</v>
      </c>
      <c r="G164" s="3"/>
      <c r="H164" s="3"/>
    </row>
    <row r="165" spans="1:8" x14ac:dyDescent="0.2">
      <c r="A165" s="12" t="s">
        <v>1150</v>
      </c>
      <c r="B165" s="10" t="s">
        <v>949</v>
      </c>
      <c r="C165" s="316">
        <v>100</v>
      </c>
      <c r="D165" s="316">
        <v>100</v>
      </c>
      <c r="E165" s="316">
        <v>100</v>
      </c>
      <c r="F165" s="316">
        <v>100</v>
      </c>
      <c r="G165" s="3"/>
      <c r="H165" s="3"/>
    </row>
    <row r="166" spans="1:8" x14ac:dyDescent="0.2">
      <c r="A166" s="12" t="s">
        <v>1151</v>
      </c>
      <c r="B166" s="10" t="s">
        <v>938</v>
      </c>
      <c r="C166" s="316">
        <v>100</v>
      </c>
      <c r="D166" s="316">
        <v>100</v>
      </c>
      <c r="E166" s="316">
        <v>100</v>
      </c>
      <c r="F166" s="316">
        <v>100</v>
      </c>
      <c r="G166" s="3"/>
      <c r="H166" s="3"/>
    </row>
    <row r="167" spans="1:8" x14ac:dyDescent="0.2">
      <c r="A167" s="12" t="s">
        <v>1152</v>
      </c>
      <c r="B167" s="10" t="s">
        <v>978</v>
      </c>
      <c r="C167" s="316">
        <v>100</v>
      </c>
      <c r="D167" s="316">
        <v>100</v>
      </c>
      <c r="E167" s="316">
        <v>100</v>
      </c>
      <c r="F167" s="316">
        <v>100</v>
      </c>
      <c r="G167" s="3"/>
      <c r="H167" s="3"/>
    </row>
    <row r="168" spans="1:8" x14ac:dyDescent="0.2">
      <c r="A168" s="12" t="s">
        <v>1153</v>
      </c>
      <c r="B168" s="10" t="s">
        <v>978</v>
      </c>
      <c r="C168" s="316">
        <v>100</v>
      </c>
      <c r="D168" s="316">
        <v>100</v>
      </c>
      <c r="E168" s="316">
        <v>100</v>
      </c>
      <c r="F168" s="316">
        <v>100</v>
      </c>
      <c r="G168" s="3"/>
      <c r="H168" s="3"/>
    </row>
    <row r="169" spans="1:8" x14ac:dyDescent="0.2">
      <c r="A169" s="12" t="s">
        <v>1154</v>
      </c>
      <c r="B169" s="10" t="s">
        <v>993</v>
      </c>
      <c r="C169" s="316">
        <v>100</v>
      </c>
      <c r="D169" s="316">
        <v>100</v>
      </c>
      <c r="E169" s="316">
        <v>100</v>
      </c>
      <c r="F169" s="316">
        <v>100</v>
      </c>
      <c r="G169" s="3"/>
      <c r="H169" s="3"/>
    </row>
    <row r="170" spans="1:8" x14ac:dyDescent="0.2">
      <c r="A170" s="12" t="s">
        <v>1155</v>
      </c>
      <c r="B170" s="10" t="s">
        <v>990</v>
      </c>
      <c r="C170" s="316">
        <v>100</v>
      </c>
      <c r="D170" s="316">
        <v>100</v>
      </c>
      <c r="E170" s="316">
        <v>100</v>
      </c>
      <c r="F170" s="316">
        <v>100</v>
      </c>
      <c r="G170" s="3"/>
      <c r="H170" s="3"/>
    </row>
    <row r="171" spans="1:8" x14ac:dyDescent="0.2">
      <c r="A171" s="12" t="s">
        <v>1156</v>
      </c>
      <c r="B171" s="10" t="s">
        <v>974</v>
      </c>
      <c r="C171" s="316">
        <v>100</v>
      </c>
      <c r="D171" s="316">
        <v>100</v>
      </c>
      <c r="E171" s="316">
        <v>100</v>
      </c>
      <c r="F171" s="316">
        <v>100</v>
      </c>
      <c r="G171" s="3"/>
      <c r="H171" s="3"/>
    </row>
    <row r="172" spans="1:8" x14ac:dyDescent="0.2">
      <c r="A172" s="12" t="s">
        <v>1157</v>
      </c>
      <c r="B172" s="10" t="s">
        <v>990</v>
      </c>
      <c r="C172" s="316">
        <v>100</v>
      </c>
      <c r="D172" s="316">
        <v>100</v>
      </c>
      <c r="E172" s="316">
        <v>100</v>
      </c>
      <c r="F172" s="316">
        <v>100</v>
      </c>
      <c r="G172" s="3"/>
      <c r="H172" s="3"/>
    </row>
    <row r="173" spans="1:8" x14ac:dyDescent="0.2">
      <c r="A173" s="12" t="s">
        <v>1158</v>
      </c>
      <c r="B173" s="10" t="s">
        <v>926</v>
      </c>
      <c r="C173" s="316">
        <v>100</v>
      </c>
      <c r="D173" s="316">
        <v>100</v>
      </c>
      <c r="E173" s="316">
        <v>100</v>
      </c>
      <c r="F173" s="316">
        <v>100</v>
      </c>
      <c r="G173" s="3"/>
      <c r="H173" s="3"/>
    </row>
    <row r="174" spans="1:8" x14ac:dyDescent="0.2">
      <c r="A174" s="12" t="s">
        <v>1159</v>
      </c>
      <c r="B174" s="10" t="s">
        <v>938</v>
      </c>
      <c r="C174" s="316">
        <v>100</v>
      </c>
      <c r="D174" s="316">
        <v>100</v>
      </c>
      <c r="E174" s="316">
        <v>100</v>
      </c>
      <c r="F174" s="316">
        <v>100</v>
      </c>
      <c r="G174" s="3"/>
      <c r="H174" s="3"/>
    </row>
    <row r="175" spans="1:8" x14ac:dyDescent="0.2">
      <c r="A175" s="12" t="s">
        <v>1160</v>
      </c>
      <c r="B175" s="11" t="s">
        <v>993</v>
      </c>
      <c r="C175" s="317">
        <v>100</v>
      </c>
      <c r="D175" s="316">
        <v>100</v>
      </c>
      <c r="E175" s="317">
        <v>100</v>
      </c>
      <c r="F175" s="317">
        <v>100</v>
      </c>
      <c r="G175" s="3"/>
      <c r="H175" s="3"/>
    </row>
    <row r="176" spans="1:8" x14ac:dyDescent="0.2">
      <c r="A176" s="12" t="s">
        <v>1161</v>
      </c>
      <c r="B176" s="10" t="s">
        <v>957</v>
      </c>
      <c r="C176" s="316">
        <v>100</v>
      </c>
      <c r="D176" s="316">
        <v>100</v>
      </c>
      <c r="E176" s="316">
        <v>100</v>
      </c>
      <c r="F176" s="316">
        <v>100</v>
      </c>
      <c r="G176" s="3"/>
      <c r="H176" s="3"/>
    </row>
    <row r="177" spans="1:8" x14ac:dyDescent="0.2">
      <c r="A177" s="12" t="s">
        <v>1162</v>
      </c>
      <c r="B177" s="10" t="s">
        <v>974</v>
      </c>
      <c r="C177" s="316">
        <v>100</v>
      </c>
      <c r="D177" s="316">
        <v>100</v>
      </c>
      <c r="E177" s="316">
        <v>100</v>
      </c>
      <c r="F177" s="316">
        <v>100</v>
      </c>
      <c r="G177" s="3"/>
      <c r="H177" s="3"/>
    </row>
    <row r="178" spans="1:8" x14ac:dyDescent="0.2">
      <c r="A178" s="12" t="s">
        <v>1163</v>
      </c>
      <c r="B178" s="10" t="s">
        <v>962</v>
      </c>
      <c r="C178" s="316">
        <v>100</v>
      </c>
      <c r="D178" s="316">
        <v>100</v>
      </c>
      <c r="E178" s="316">
        <v>100</v>
      </c>
      <c r="F178" s="316">
        <v>100</v>
      </c>
      <c r="G178" s="3"/>
      <c r="H178" s="3"/>
    </row>
    <row r="179" spans="1:8" x14ac:dyDescent="0.2">
      <c r="A179" s="12" t="s">
        <v>1164</v>
      </c>
      <c r="B179" s="10" t="s">
        <v>993</v>
      </c>
      <c r="C179" s="316">
        <v>100</v>
      </c>
      <c r="D179" s="316">
        <v>100</v>
      </c>
      <c r="E179" s="316">
        <v>100</v>
      </c>
      <c r="F179" s="316">
        <v>100</v>
      </c>
      <c r="G179" s="3"/>
      <c r="H179" s="3"/>
    </row>
    <row r="180" spans="1:8" x14ac:dyDescent="0.2">
      <c r="A180" s="12" t="s">
        <v>1165</v>
      </c>
      <c r="B180" s="10" t="s">
        <v>938</v>
      </c>
      <c r="C180" s="316">
        <v>100</v>
      </c>
      <c r="D180" s="316">
        <v>100</v>
      </c>
      <c r="E180" s="316">
        <v>100</v>
      </c>
      <c r="F180" s="316">
        <v>100</v>
      </c>
      <c r="G180" s="3"/>
      <c r="H180" s="3"/>
    </row>
    <row r="181" spans="1:8" x14ac:dyDescent="0.2">
      <c r="A181" s="12" t="s">
        <v>1166</v>
      </c>
      <c r="B181" s="10" t="s">
        <v>990</v>
      </c>
      <c r="C181" s="316">
        <v>100</v>
      </c>
      <c r="D181" s="316">
        <v>100</v>
      </c>
      <c r="E181" s="316">
        <v>100</v>
      </c>
      <c r="F181" s="316">
        <v>100</v>
      </c>
      <c r="G181" s="3"/>
      <c r="H181" s="3"/>
    </row>
    <row r="182" spans="1:8" x14ac:dyDescent="0.2">
      <c r="A182" s="12" t="s">
        <v>1167</v>
      </c>
      <c r="B182" s="10" t="s">
        <v>990</v>
      </c>
      <c r="C182" s="316">
        <v>100</v>
      </c>
      <c r="D182" s="316">
        <v>100</v>
      </c>
      <c r="E182" s="316">
        <v>100</v>
      </c>
      <c r="F182" s="316">
        <v>100</v>
      </c>
      <c r="G182" s="3"/>
      <c r="H182" s="3"/>
    </row>
    <row r="183" spans="1:8" x14ac:dyDescent="0.2">
      <c r="A183" s="12" t="s">
        <v>1168</v>
      </c>
      <c r="B183" s="10" t="s">
        <v>961</v>
      </c>
      <c r="C183" s="316">
        <v>100</v>
      </c>
      <c r="D183" s="316">
        <v>100</v>
      </c>
      <c r="E183" s="316">
        <v>100</v>
      </c>
      <c r="F183" s="316">
        <v>100</v>
      </c>
      <c r="G183" s="3"/>
      <c r="H183" s="3"/>
    </row>
    <row r="184" spans="1:8" x14ac:dyDescent="0.2">
      <c r="A184" s="12" t="s">
        <v>1169</v>
      </c>
      <c r="B184" s="10" t="s">
        <v>961</v>
      </c>
      <c r="C184" s="316">
        <v>100</v>
      </c>
      <c r="D184" s="316">
        <v>100</v>
      </c>
      <c r="E184" s="316">
        <v>100</v>
      </c>
      <c r="F184" s="316">
        <v>100</v>
      </c>
      <c r="G184" s="3"/>
      <c r="H184" s="3"/>
    </row>
    <row r="185" spans="1:8" x14ac:dyDescent="0.2">
      <c r="A185" s="12" t="s">
        <v>972</v>
      </c>
      <c r="B185" s="10" t="s">
        <v>957</v>
      </c>
      <c r="C185" s="316">
        <v>200</v>
      </c>
      <c r="D185" s="316">
        <v>100</v>
      </c>
      <c r="E185" s="316">
        <v>200</v>
      </c>
      <c r="F185" s="316">
        <v>100</v>
      </c>
      <c r="G185" s="3"/>
      <c r="H185" s="3"/>
    </row>
    <row r="186" spans="1:8" x14ac:dyDescent="0.2">
      <c r="A186" s="12" t="s">
        <v>1170</v>
      </c>
      <c r="B186" s="10" t="s">
        <v>927</v>
      </c>
      <c r="C186" s="316">
        <v>100</v>
      </c>
      <c r="D186" s="316">
        <v>100</v>
      </c>
      <c r="E186" s="316">
        <v>100</v>
      </c>
      <c r="F186" s="316">
        <v>100</v>
      </c>
      <c r="G186" s="3"/>
      <c r="H186" s="3"/>
    </row>
    <row r="187" spans="1:8" x14ac:dyDescent="0.2">
      <c r="A187" s="12" t="s">
        <v>1171</v>
      </c>
      <c r="B187" s="10" t="s">
        <v>926</v>
      </c>
      <c r="C187" s="316">
        <v>100</v>
      </c>
      <c r="D187" s="316">
        <v>100</v>
      </c>
      <c r="E187" s="316">
        <v>100</v>
      </c>
      <c r="F187" s="316">
        <v>100</v>
      </c>
      <c r="G187" s="3"/>
      <c r="H187" s="3"/>
    </row>
    <row r="188" spans="1:8" x14ac:dyDescent="0.2">
      <c r="A188" s="12" t="s">
        <v>1172</v>
      </c>
      <c r="B188" s="10" t="s">
        <v>978</v>
      </c>
      <c r="C188" s="316">
        <v>100</v>
      </c>
      <c r="D188" s="316">
        <v>100</v>
      </c>
      <c r="E188" s="316">
        <v>100</v>
      </c>
      <c r="F188" s="316">
        <v>100</v>
      </c>
      <c r="G188" s="3"/>
      <c r="H188" s="3"/>
    </row>
    <row r="189" spans="1:8" x14ac:dyDescent="0.2">
      <c r="A189" s="12" t="s">
        <v>1173</v>
      </c>
      <c r="B189" s="10" t="s">
        <v>939</v>
      </c>
      <c r="C189" s="316">
        <v>100</v>
      </c>
      <c r="D189" s="316">
        <v>100</v>
      </c>
      <c r="E189" s="316">
        <v>100</v>
      </c>
      <c r="F189" s="316">
        <v>100</v>
      </c>
      <c r="G189" s="3"/>
      <c r="H189" s="3"/>
    </row>
    <row r="190" spans="1:8" x14ac:dyDescent="0.2">
      <c r="A190" s="12" t="s">
        <v>1174</v>
      </c>
      <c r="B190" s="10" t="s">
        <v>982</v>
      </c>
      <c r="C190" s="316">
        <v>100</v>
      </c>
      <c r="D190" s="316">
        <v>100</v>
      </c>
      <c r="E190" s="316">
        <v>100</v>
      </c>
      <c r="F190" s="316">
        <v>100</v>
      </c>
      <c r="G190" s="3"/>
      <c r="H190" s="3"/>
    </row>
    <row r="191" spans="1:8" x14ac:dyDescent="0.2">
      <c r="A191" s="12" t="s">
        <v>1175</v>
      </c>
      <c r="B191" s="10" t="s">
        <v>939</v>
      </c>
      <c r="C191" s="316">
        <v>100</v>
      </c>
      <c r="D191" s="316">
        <v>100</v>
      </c>
      <c r="E191" s="316">
        <v>100</v>
      </c>
      <c r="F191" s="316">
        <v>100</v>
      </c>
      <c r="G191" s="3"/>
      <c r="H191" s="3"/>
    </row>
    <row r="192" spans="1:8" x14ac:dyDescent="0.2">
      <c r="A192" s="12" t="s">
        <v>1176</v>
      </c>
      <c r="B192" s="10" t="s">
        <v>961</v>
      </c>
      <c r="C192" s="316">
        <v>100</v>
      </c>
      <c r="D192" s="316">
        <v>100</v>
      </c>
      <c r="E192" s="316">
        <v>100</v>
      </c>
      <c r="F192" s="316">
        <v>100</v>
      </c>
      <c r="G192" s="3"/>
      <c r="H192" s="3"/>
    </row>
    <row r="193" spans="1:8" x14ac:dyDescent="0.2">
      <c r="A193" s="12" t="s">
        <v>1177</v>
      </c>
      <c r="B193" s="10" t="s">
        <v>956</v>
      </c>
      <c r="C193" s="316">
        <v>100</v>
      </c>
      <c r="D193" s="316">
        <v>100</v>
      </c>
      <c r="E193" s="316">
        <v>100</v>
      </c>
      <c r="F193" s="316">
        <v>100</v>
      </c>
      <c r="G193" s="3"/>
      <c r="H193" s="3"/>
    </row>
    <row r="194" spans="1:8" x14ac:dyDescent="0.2">
      <c r="A194" s="12" t="s">
        <v>1178</v>
      </c>
      <c r="B194" s="10" t="s">
        <v>927</v>
      </c>
      <c r="C194" s="316">
        <v>100</v>
      </c>
      <c r="D194" s="316">
        <v>100</v>
      </c>
      <c r="E194" s="316">
        <v>100</v>
      </c>
      <c r="F194" s="316">
        <v>100</v>
      </c>
      <c r="G194" s="3"/>
      <c r="H194" s="3"/>
    </row>
    <row r="195" spans="1:8" x14ac:dyDescent="0.2">
      <c r="A195" s="12" t="s">
        <v>1179</v>
      </c>
      <c r="B195" s="10" t="s">
        <v>927</v>
      </c>
      <c r="C195" s="316">
        <v>100</v>
      </c>
      <c r="D195" s="316">
        <v>100</v>
      </c>
      <c r="E195" s="316">
        <v>100</v>
      </c>
      <c r="F195" s="316">
        <v>100</v>
      </c>
      <c r="G195" s="3"/>
      <c r="H195" s="3"/>
    </row>
    <row r="196" spans="1:8" x14ac:dyDescent="0.2">
      <c r="A196" s="12" t="s">
        <v>1180</v>
      </c>
      <c r="B196" s="10" t="s">
        <v>939</v>
      </c>
      <c r="C196" s="316">
        <v>100</v>
      </c>
      <c r="D196" s="316">
        <v>100</v>
      </c>
      <c r="E196" s="316">
        <v>100</v>
      </c>
      <c r="F196" s="316">
        <v>100</v>
      </c>
      <c r="G196" s="3"/>
      <c r="H196" s="3"/>
    </row>
    <row r="197" spans="1:8" x14ac:dyDescent="0.2">
      <c r="A197" s="12" t="s">
        <v>1181</v>
      </c>
      <c r="B197" s="10" t="s">
        <v>982</v>
      </c>
      <c r="C197" s="316">
        <v>100</v>
      </c>
      <c r="D197" s="316">
        <v>100</v>
      </c>
      <c r="E197" s="316">
        <v>100</v>
      </c>
      <c r="F197" s="316">
        <v>100</v>
      </c>
      <c r="G197" s="3"/>
      <c r="H197" s="3"/>
    </row>
    <row r="198" spans="1:8" x14ac:dyDescent="0.2">
      <c r="A198" s="12" t="s">
        <v>1182</v>
      </c>
      <c r="B198" s="10" t="s">
        <v>926</v>
      </c>
      <c r="C198" s="316">
        <v>100</v>
      </c>
      <c r="D198" s="316">
        <v>100</v>
      </c>
      <c r="E198" s="316">
        <v>100</v>
      </c>
      <c r="F198" s="316">
        <v>100</v>
      </c>
      <c r="G198" s="3"/>
      <c r="H198" s="3"/>
    </row>
    <row r="199" spans="1:8" x14ac:dyDescent="0.2">
      <c r="A199" s="12" t="s">
        <v>1183</v>
      </c>
      <c r="B199" s="10" t="s">
        <v>982</v>
      </c>
      <c r="C199" s="316">
        <v>100</v>
      </c>
      <c r="D199" s="316">
        <v>100</v>
      </c>
      <c r="E199" s="316">
        <v>100</v>
      </c>
      <c r="F199" s="316">
        <v>100</v>
      </c>
      <c r="G199" s="3"/>
      <c r="H199" s="3"/>
    </row>
    <row r="200" spans="1:8" x14ac:dyDescent="0.2">
      <c r="A200" s="12" t="s">
        <v>1184</v>
      </c>
      <c r="B200" s="10" t="s">
        <v>927</v>
      </c>
      <c r="C200" s="316">
        <v>100</v>
      </c>
      <c r="D200" s="316">
        <v>100</v>
      </c>
      <c r="E200" s="316">
        <v>100</v>
      </c>
      <c r="F200" s="316">
        <v>100</v>
      </c>
      <c r="G200" s="3"/>
      <c r="H200" s="3"/>
    </row>
    <row r="201" spans="1:8" x14ac:dyDescent="0.2">
      <c r="A201" s="12" t="s">
        <v>1185</v>
      </c>
      <c r="B201" s="10" t="s">
        <v>938</v>
      </c>
      <c r="C201" s="316">
        <v>100</v>
      </c>
      <c r="D201" s="316">
        <v>100</v>
      </c>
      <c r="E201" s="316">
        <v>100</v>
      </c>
      <c r="F201" s="316">
        <v>100</v>
      </c>
      <c r="G201" s="3"/>
      <c r="H201" s="3"/>
    </row>
    <row r="202" spans="1:8" x14ac:dyDescent="0.2">
      <c r="A202" s="12" t="s">
        <v>1186</v>
      </c>
      <c r="B202" s="10" t="s">
        <v>939</v>
      </c>
      <c r="C202" s="316">
        <v>100</v>
      </c>
      <c r="D202" s="316">
        <v>100</v>
      </c>
      <c r="E202" s="316">
        <v>100</v>
      </c>
      <c r="F202" s="316">
        <v>100</v>
      </c>
      <c r="G202" s="3"/>
      <c r="H202" s="3"/>
    </row>
    <row r="203" spans="1:8" x14ac:dyDescent="0.2">
      <c r="A203" s="12" t="s">
        <v>1187</v>
      </c>
      <c r="B203" s="10" t="s">
        <v>927</v>
      </c>
      <c r="C203" s="316">
        <v>100</v>
      </c>
      <c r="D203" s="316">
        <v>100</v>
      </c>
      <c r="E203" s="316">
        <v>100</v>
      </c>
      <c r="F203" s="316">
        <v>100</v>
      </c>
      <c r="G203" s="3"/>
      <c r="H203" s="3"/>
    </row>
    <row r="204" spans="1:8" x14ac:dyDescent="0.2">
      <c r="A204" s="12" t="s">
        <v>1188</v>
      </c>
      <c r="B204" s="10" t="s">
        <v>987</v>
      </c>
      <c r="C204" s="316">
        <v>100</v>
      </c>
      <c r="D204" s="316">
        <v>100</v>
      </c>
      <c r="E204" s="316">
        <v>100</v>
      </c>
      <c r="F204" s="316">
        <v>100</v>
      </c>
      <c r="G204" s="3"/>
      <c r="H204" s="3"/>
    </row>
    <row r="205" spans="1:8" x14ac:dyDescent="0.2">
      <c r="A205" s="12" t="s">
        <v>1189</v>
      </c>
      <c r="B205" s="10" t="s">
        <v>926</v>
      </c>
      <c r="C205" s="316">
        <v>100</v>
      </c>
      <c r="D205" s="316">
        <v>100</v>
      </c>
      <c r="E205" s="316">
        <v>100</v>
      </c>
      <c r="F205" s="316">
        <v>100</v>
      </c>
      <c r="G205" s="3"/>
      <c r="H205" s="3"/>
    </row>
    <row r="206" spans="1:8" x14ac:dyDescent="0.2">
      <c r="A206" s="12" t="s">
        <v>1190</v>
      </c>
      <c r="B206" s="10" t="s">
        <v>927</v>
      </c>
      <c r="C206" s="316">
        <v>100</v>
      </c>
      <c r="D206" s="316">
        <v>100</v>
      </c>
      <c r="E206" s="316">
        <v>100</v>
      </c>
      <c r="F206" s="316">
        <v>100</v>
      </c>
      <c r="G206" s="3"/>
      <c r="H206" s="3"/>
    </row>
    <row r="207" spans="1:8" x14ac:dyDescent="0.2">
      <c r="A207" s="12" t="s">
        <v>1191</v>
      </c>
      <c r="B207" s="10" t="s">
        <v>993</v>
      </c>
      <c r="C207" s="316">
        <v>100</v>
      </c>
      <c r="D207" s="316">
        <v>100</v>
      </c>
      <c r="E207" s="316">
        <v>100</v>
      </c>
      <c r="F207" s="316">
        <v>100</v>
      </c>
      <c r="G207" s="3"/>
      <c r="H207" s="3"/>
    </row>
    <row r="208" spans="1:8" x14ac:dyDescent="0.2">
      <c r="A208" s="12" t="s">
        <v>1192</v>
      </c>
      <c r="B208" s="10" t="s">
        <v>962</v>
      </c>
      <c r="C208" s="316">
        <v>100</v>
      </c>
      <c r="D208" s="316">
        <v>100</v>
      </c>
      <c r="E208" s="316">
        <v>100</v>
      </c>
      <c r="F208" s="316">
        <v>100</v>
      </c>
      <c r="G208" s="3"/>
      <c r="H208" s="3"/>
    </row>
    <row r="209" spans="1:8" x14ac:dyDescent="0.2">
      <c r="A209" s="12" t="s">
        <v>1193</v>
      </c>
      <c r="B209" s="10" t="s">
        <v>926</v>
      </c>
      <c r="C209" s="316">
        <v>100</v>
      </c>
      <c r="D209" s="316">
        <v>100</v>
      </c>
      <c r="E209" s="316">
        <v>100</v>
      </c>
      <c r="F209" s="316">
        <v>100</v>
      </c>
      <c r="G209" s="3"/>
      <c r="H209" s="3"/>
    </row>
    <row r="210" spans="1:8" x14ac:dyDescent="0.2">
      <c r="A210" s="12" t="s">
        <v>1194</v>
      </c>
      <c r="B210" s="10" t="s">
        <v>938</v>
      </c>
      <c r="C210" s="316">
        <v>100</v>
      </c>
      <c r="D210" s="316">
        <v>100</v>
      </c>
      <c r="E210" s="316">
        <v>100</v>
      </c>
      <c r="F210" s="316">
        <v>100</v>
      </c>
      <c r="G210" s="3"/>
      <c r="H210" s="3"/>
    </row>
    <row r="211" spans="1:8" x14ac:dyDescent="0.2">
      <c r="A211" s="12" t="s">
        <v>1195</v>
      </c>
      <c r="B211" s="10" t="s">
        <v>956</v>
      </c>
      <c r="C211" s="316">
        <v>100</v>
      </c>
      <c r="D211" s="316">
        <v>100</v>
      </c>
      <c r="E211" s="316">
        <v>100</v>
      </c>
      <c r="F211" s="316">
        <v>100</v>
      </c>
      <c r="G211" s="3"/>
      <c r="H211" s="3"/>
    </row>
    <row r="212" spans="1:8" x14ac:dyDescent="0.2">
      <c r="A212" s="12" t="s">
        <v>1196</v>
      </c>
      <c r="B212" s="10" t="s">
        <v>927</v>
      </c>
      <c r="C212" s="316">
        <v>100</v>
      </c>
      <c r="D212" s="316">
        <v>100</v>
      </c>
      <c r="E212" s="316">
        <v>100</v>
      </c>
      <c r="F212" s="316">
        <v>100</v>
      </c>
      <c r="G212" s="3"/>
      <c r="H212" s="3"/>
    </row>
    <row r="213" spans="1:8" x14ac:dyDescent="0.2">
      <c r="A213" s="12" t="s">
        <v>1197</v>
      </c>
      <c r="B213" s="10" t="s">
        <v>990</v>
      </c>
      <c r="C213" s="316">
        <v>100</v>
      </c>
      <c r="D213" s="316">
        <v>100</v>
      </c>
      <c r="E213" s="316">
        <v>100</v>
      </c>
      <c r="F213" s="316">
        <v>100</v>
      </c>
      <c r="G213" s="3"/>
      <c r="H213" s="3"/>
    </row>
    <row r="214" spans="1:8" x14ac:dyDescent="0.2">
      <c r="A214" s="12" t="s">
        <v>1198</v>
      </c>
      <c r="B214" s="10" t="s">
        <v>982</v>
      </c>
      <c r="C214" s="316">
        <v>100</v>
      </c>
      <c r="D214" s="316">
        <v>100</v>
      </c>
      <c r="E214" s="316">
        <v>100</v>
      </c>
      <c r="F214" s="316">
        <v>100</v>
      </c>
      <c r="G214" s="3"/>
      <c r="H214" s="3"/>
    </row>
    <row r="215" spans="1:8" x14ac:dyDescent="0.2">
      <c r="A215" s="12" t="s">
        <v>1199</v>
      </c>
      <c r="B215" s="10" t="s">
        <v>961</v>
      </c>
      <c r="C215" s="316">
        <v>100</v>
      </c>
      <c r="D215" s="316">
        <v>100</v>
      </c>
      <c r="E215" s="316">
        <v>100</v>
      </c>
      <c r="F215" s="316">
        <v>100</v>
      </c>
      <c r="G215" s="3"/>
      <c r="H215" s="3"/>
    </row>
    <row r="216" spans="1:8" x14ac:dyDescent="0.2">
      <c r="A216" s="12" t="s">
        <v>1200</v>
      </c>
      <c r="B216" s="10" t="s">
        <v>926</v>
      </c>
      <c r="C216" s="316">
        <v>100</v>
      </c>
      <c r="D216" s="316">
        <v>100</v>
      </c>
      <c r="E216" s="316">
        <v>100</v>
      </c>
      <c r="F216" s="316">
        <v>100</v>
      </c>
      <c r="G216" s="3"/>
      <c r="H216" s="3"/>
    </row>
    <row r="217" spans="1:8" x14ac:dyDescent="0.2">
      <c r="A217" s="12" t="s">
        <v>1201</v>
      </c>
      <c r="B217" s="10" t="s">
        <v>939</v>
      </c>
      <c r="C217" s="316">
        <v>100</v>
      </c>
      <c r="D217" s="316">
        <v>100</v>
      </c>
      <c r="E217" s="316">
        <v>100</v>
      </c>
      <c r="F217" s="316">
        <v>100</v>
      </c>
      <c r="G217" s="3"/>
      <c r="H217" s="3"/>
    </row>
    <row r="218" spans="1:8" x14ac:dyDescent="0.2">
      <c r="A218" s="12" t="s">
        <v>1202</v>
      </c>
      <c r="B218" s="10" t="s">
        <v>939</v>
      </c>
      <c r="C218" s="316">
        <v>100</v>
      </c>
      <c r="D218" s="316">
        <v>100</v>
      </c>
      <c r="E218" s="316">
        <v>100</v>
      </c>
      <c r="F218" s="316">
        <v>100</v>
      </c>
      <c r="G218" s="3"/>
      <c r="H218" s="3"/>
    </row>
    <row r="219" spans="1:8" x14ac:dyDescent="0.2">
      <c r="A219" s="12" t="s">
        <v>1203</v>
      </c>
      <c r="B219" s="10" t="s">
        <v>939</v>
      </c>
      <c r="C219" s="316">
        <v>100</v>
      </c>
      <c r="D219" s="316">
        <v>100</v>
      </c>
      <c r="E219" s="316">
        <v>100</v>
      </c>
      <c r="F219" s="316">
        <v>100</v>
      </c>
      <c r="G219" s="3"/>
      <c r="H219" s="3"/>
    </row>
    <row r="220" spans="1:8" x14ac:dyDescent="0.2">
      <c r="A220" s="12" t="s">
        <v>1204</v>
      </c>
      <c r="B220" s="10" t="s">
        <v>956</v>
      </c>
      <c r="C220" s="316">
        <v>100</v>
      </c>
      <c r="D220" s="316">
        <v>100</v>
      </c>
      <c r="E220" s="316">
        <v>100</v>
      </c>
      <c r="F220" s="316">
        <v>100</v>
      </c>
      <c r="G220" s="3"/>
      <c r="H220" s="3"/>
    </row>
    <row r="221" spans="1:8" x14ac:dyDescent="0.2">
      <c r="A221" s="12" t="s">
        <v>1205</v>
      </c>
      <c r="B221" s="10" t="s">
        <v>990</v>
      </c>
      <c r="C221" s="316">
        <v>100</v>
      </c>
      <c r="D221" s="316">
        <v>100</v>
      </c>
      <c r="E221" s="316">
        <v>100</v>
      </c>
      <c r="F221" s="316">
        <v>100</v>
      </c>
      <c r="G221" s="3"/>
      <c r="H221" s="3"/>
    </row>
    <row r="222" spans="1:8" x14ac:dyDescent="0.2">
      <c r="A222" s="12" t="s">
        <v>1206</v>
      </c>
      <c r="B222" s="10" t="s">
        <v>993</v>
      </c>
      <c r="C222" s="316">
        <v>100</v>
      </c>
      <c r="D222" s="316">
        <v>100</v>
      </c>
      <c r="E222" s="316">
        <v>100</v>
      </c>
      <c r="F222" s="316">
        <v>100</v>
      </c>
      <c r="G222" s="3"/>
      <c r="H222" s="3"/>
    </row>
    <row r="223" spans="1:8" x14ac:dyDescent="0.2">
      <c r="A223" s="12" t="s">
        <v>1207</v>
      </c>
      <c r="B223" s="10" t="s">
        <v>961</v>
      </c>
      <c r="C223" s="316">
        <v>100</v>
      </c>
      <c r="D223" s="316">
        <v>100</v>
      </c>
      <c r="E223" s="316">
        <v>100</v>
      </c>
      <c r="F223" s="316">
        <v>100</v>
      </c>
      <c r="G223" s="3"/>
      <c r="H223" s="3"/>
    </row>
    <row r="224" spans="1:8" x14ac:dyDescent="0.2">
      <c r="A224" s="12" t="s">
        <v>1208</v>
      </c>
      <c r="B224" s="10" t="s">
        <v>961</v>
      </c>
      <c r="C224" s="316">
        <v>100</v>
      </c>
      <c r="D224" s="316">
        <v>100</v>
      </c>
      <c r="E224" s="316">
        <v>100</v>
      </c>
      <c r="F224" s="316">
        <v>100</v>
      </c>
      <c r="G224" s="3"/>
      <c r="H224" s="3"/>
    </row>
    <row r="225" spans="1:8" x14ac:dyDescent="0.2">
      <c r="A225" s="12" t="s">
        <v>1209</v>
      </c>
      <c r="B225" s="10" t="s">
        <v>939</v>
      </c>
      <c r="C225" s="316">
        <v>100</v>
      </c>
      <c r="D225" s="316">
        <v>100</v>
      </c>
      <c r="E225" s="316">
        <v>100</v>
      </c>
      <c r="F225" s="316">
        <v>100</v>
      </c>
      <c r="G225" s="3"/>
      <c r="H225" s="3"/>
    </row>
    <row r="226" spans="1:8" x14ac:dyDescent="0.2">
      <c r="A226" s="12" t="s">
        <v>1210</v>
      </c>
      <c r="B226" s="10" t="s">
        <v>927</v>
      </c>
      <c r="C226" s="316">
        <v>100</v>
      </c>
      <c r="D226" s="316">
        <v>100</v>
      </c>
      <c r="E226" s="316">
        <v>100</v>
      </c>
      <c r="F226" s="316">
        <v>100</v>
      </c>
      <c r="G226" s="3"/>
      <c r="H226" s="3"/>
    </row>
    <row r="227" spans="1:8" x14ac:dyDescent="0.2">
      <c r="A227" s="12" t="s">
        <v>1211</v>
      </c>
      <c r="B227" s="10" t="s">
        <v>926</v>
      </c>
      <c r="C227" s="316">
        <v>100</v>
      </c>
      <c r="D227" s="316">
        <v>100</v>
      </c>
      <c r="E227" s="316">
        <v>100</v>
      </c>
      <c r="F227" s="316">
        <v>100</v>
      </c>
      <c r="G227" s="3"/>
      <c r="H227" s="3"/>
    </row>
    <row r="228" spans="1:8" x14ac:dyDescent="0.2">
      <c r="A228" s="12" t="s">
        <v>1212</v>
      </c>
      <c r="B228" s="10" t="s">
        <v>982</v>
      </c>
      <c r="C228" s="316">
        <v>100</v>
      </c>
      <c r="D228" s="316">
        <v>100</v>
      </c>
      <c r="E228" s="316">
        <v>100</v>
      </c>
      <c r="F228" s="316">
        <v>100</v>
      </c>
      <c r="G228" s="3"/>
      <c r="H228" s="3"/>
    </row>
    <row r="229" spans="1:8" x14ac:dyDescent="0.2">
      <c r="A229" s="12" t="s">
        <v>1213</v>
      </c>
      <c r="B229" s="10" t="s">
        <v>970</v>
      </c>
      <c r="C229" s="316">
        <v>100</v>
      </c>
      <c r="D229" s="316">
        <v>100</v>
      </c>
      <c r="E229" s="316">
        <v>100</v>
      </c>
      <c r="F229" s="316">
        <v>100</v>
      </c>
      <c r="G229" s="3"/>
      <c r="H229" s="3"/>
    </row>
    <row r="230" spans="1:8" x14ac:dyDescent="0.2">
      <c r="A230" s="12" t="s">
        <v>1214</v>
      </c>
      <c r="B230" s="10" t="s">
        <v>961</v>
      </c>
      <c r="C230" s="316">
        <v>100</v>
      </c>
      <c r="D230" s="316">
        <v>100</v>
      </c>
      <c r="E230" s="316">
        <v>100</v>
      </c>
      <c r="F230" s="316">
        <v>100</v>
      </c>
      <c r="G230" s="3"/>
      <c r="H230" s="3"/>
    </row>
    <row r="231" spans="1:8" x14ac:dyDescent="0.2">
      <c r="A231" s="12" t="s">
        <v>1215</v>
      </c>
      <c r="B231" s="10" t="s">
        <v>993</v>
      </c>
      <c r="C231" s="316">
        <v>100</v>
      </c>
      <c r="D231" s="316">
        <v>100</v>
      </c>
      <c r="E231" s="316">
        <v>100</v>
      </c>
      <c r="F231" s="316">
        <v>100</v>
      </c>
      <c r="G231" s="3"/>
      <c r="H231" s="3"/>
    </row>
    <row r="232" spans="1:8" x14ac:dyDescent="0.2">
      <c r="A232" s="12" t="s">
        <v>1216</v>
      </c>
      <c r="B232" s="10" t="s">
        <v>961</v>
      </c>
      <c r="C232" s="316">
        <v>100</v>
      </c>
      <c r="D232" s="316">
        <v>100</v>
      </c>
      <c r="E232" s="316">
        <v>100</v>
      </c>
      <c r="F232" s="316">
        <v>100</v>
      </c>
      <c r="G232" s="3"/>
      <c r="H232" s="3"/>
    </row>
    <row r="233" spans="1:8" x14ac:dyDescent="0.2">
      <c r="A233" s="12" t="s">
        <v>1217</v>
      </c>
      <c r="B233" s="10" t="s">
        <v>993</v>
      </c>
      <c r="C233" s="316">
        <v>100</v>
      </c>
      <c r="D233" s="316">
        <v>100</v>
      </c>
      <c r="E233" s="316">
        <v>100</v>
      </c>
      <c r="F233" s="316">
        <v>100</v>
      </c>
      <c r="G233" s="3"/>
      <c r="H233" s="3"/>
    </row>
    <row r="234" spans="1:8" x14ac:dyDescent="0.2">
      <c r="A234" s="12" t="s">
        <v>1218</v>
      </c>
      <c r="B234" s="10" t="s">
        <v>927</v>
      </c>
      <c r="C234" s="316">
        <v>100</v>
      </c>
      <c r="D234" s="316">
        <v>100</v>
      </c>
      <c r="E234" s="316">
        <v>100</v>
      </c>
      <c r="F234" s="316">
        <v>100</v>
      </c>
      <c r="G234" s="3"/>
      <c r="H234" s="3"/>
    </row>
    <row r="235" spans="1:8" x14ac:dyDescent="0.2">
      <c r="A235" s="12" t="s">
        <v>1219</v>
      </c>
      <c r="B235" s="10" t="s">
        <v>982</v>
      </c>
      <c r="C235" s="316">
        <v>100</v>
      </c>
      <c r="D235" s="316">
        <v>100</v>
      </c>
      <c r="E235" s="316">
        <v>100</v>
      </c>
      <c r="F235" s="316">
        <v>100</v>
      </c>
      <c r="G235" s="3"/>
      <c r="H235" s="3"/>
    </row>
    <row r="236" spans="1:8" x14ac:dyDescent="0.2">
      <c r="A236" s="12" t="s">
        <v>1220</v>
      </c>
      <c r="B236" s="10" t="s">
        <v>961</v>
      </c>
      <c r="C236" s="316">
        <v>100</v>
      </c>
      <c r="D236" s="316">
        <v>100</v>
      </c>
      <c r="E236" s="316">
        <v>100</v>
      </c>
      <c r="F236" s="316">
        <v>100</v>
      </c>
      <c r="G236" s="3"/>
      <c r="H236" s="3"/>
    </row>
    <row r="237" spans="1:8" x14ac:dyDescent="0.2">
      <c r="A237" s="12" t="s">
        <v>1221</v>
      </c>
      <c r="B237" s="10" t="s">
        <v>938</v>
      </c>
      <c r="C237" s="316">
        <v>100</v>
      </c>
      <c r="D237" s="316">
        <v>100</v>
      </c>
      <c r="E237" s="316">
        <v>100</v>
      </c>
      <c r="F237" s="316">
        <v>100</v>
      </c>
      <c r="G237" s="3"/>
      <c r="H237" s="3"/>
    </row>
    <row r="238" spans="1:8" x14ac:dyDescent="0.2">
      <c r="A238" s="12" t="s">
        <v>1222</v>
      </c>
      <c r="B238" s="10" t="s">
        <v>978</v>
      </c>
      <c r="C238" s="316">
        <v>100</v>
      </c>
      <c r="D238" s="316">
        <v>100</v>
      </c>
      <c r="E238" s="316">
        <v>100</v>
      </c>
      <c r="F238" s="316">
        <v>100</v>
      </c>
      <c r="G238" s="3"/>
      <c r="H238" s="3"/>
    </row>
    <row r="239" spans="1:8" x14ac:dyDescent="0.2">
      <c r="A239" s="12" t="s">
        <v>1223</v>
      </c>
      <c r="B239" s="10" t="s">
        <v>961</v>
      </c>
      <c r="C239" s="316">
        <v>100</v>
      </c>
      <c r="D239" s="316">
        <v>100</v>
      </c>
      <c r="E239" s="316">
        <v>100</v>
      </c>
      <c r="F239" s="316">
        <v>100</v>
      </c>
      <c r="G239" s="3"/>
      <c r="H239" s="3"/>
    </row>
    <row r="240" spans="1:8" x14ac:dyDescent="0.2">
      <c r="A240" s="12" t="s">
        <v>1224</v>
      </c>
      <c r="B240" s="10" t="s">
        <v>926</v>
      </c>
      <c r="C240" s="316">
        <v>100</v>
      </c>
      <c r="D240" s="316">
        <v>100</v>
      </c>
      <c r="E240" s="316">
        <v>100</v>
      </c>
      <c r="F240" s="316">
        <v>100</v>
      </c>
      <c r="G240" s="3"/>
      <c r="H240" s="3"/>
    </row>
    <row r="241" spans="1:8" x14ac:dyDescent="0.2">
      <c r="A241" s="12" t="s">
        <v>1225</v>
      </c>
      <c r="B241" s="10" t="s">
        <v>993</v>
      </c>
      <c r="C241" s="316">
        <v>100</v>
      </c>
      <c r="D241" s="316">
        <v>100</v>
      </c>
      <c r="E241" s="316">
        <v>100</v>
      </c>
      <c r="F241" s="316">
        <v>100</v>
      </c>
      <c r="G241" s="3"/>
      <c r="H241" s="3"/>
    </row>
    <row r="242" spans="1:8" x14ac:dyDescent="0.2">
      <c r="A242" s="12" t="s">
        <v>1226</v>
      </c>
      <c r="B242" s="10" t="s">
        <v>949</v>
      </c>
      <c r="C242" s="316">
        <v>100</v>
      </c>
      <c r="D242" s="316">
        <v>100</v>
      </c>
      <c r="E242" s="316">
        <v>100</v>
      </c>
      <c r="F242" s="316">
        <v>100</v>
      </c>
      <c r="G242" s="3"/>
      <c r="H242" s="3"/>
    </row>
    <row r="243" spans="1:8" x14ac:dyDescent="0.2">
      <c r="A243" s="12" t="s">
        <v>1227</v>
      </c>
      <c r="B243" s="10" t="s">
        <v>939</v>
      </c>
      <c r="C243" s="316">
        <v>100</v>
      </c>
      <c r="D243" s="316">
        <v>100</v>
      </c>
      <c r="E243" s="316">
        <v>100</v>
      </c>
      <c r="F243" s="316">
        <v>100</v>
      </c>
      <c r="G243" s="3"/>
      <c r="H243" s="3"/>
    </row>
    <row r="244" spans="1:8" x14ac:dyDescent="0.2">
      <c r="A244" s="12" t="s">
        <v>1228</v>
      </c>
      <c r="B244" s="10" t="s">
        <v>939</v>
      </c>
      <c r="C244" s="316">
        <v>100</v>
      </c>
      <c r="D244" s="316">
        <v>100</v>
      </c>
      <c r="E244" s="316">
        <v>100</v>
      </c>
      <c r="F244" s="316">
        <v>100</v>
      </c>
      <c r="G244" s="3"/>
      <c r="H244" s="3"/>
    </row>
    <row r="245" spans="1:8" x14ac:dyDescent="0.2">
      <c r="A245" s="12" t="s">
        <v>1229</v>
      </c>
      <c r="B245" s="10" t="s">
        <v>926</v>
      </c>
      <c r="C245" s="316">
        <v>100</v>
      </c>
      <c r="D245" s="316">
        <v>100</v>
      </c>
      <c r="E245" s="316">
        <v>100</v>
      </c>
      <c r="F245" s="316">
        <v>100</v>
      </c>
      <c r="G245" s="3"/>
      <c r="H245" s="3"/>
    </row>
    <row r="246" spans="1:8" x14ac:dyDescent="0.2">
      <c r="A246" s="12" t="s">
        <v>1230</v>
      </c>
      <c r="B246" s="10" t="s">
        <v>938</v>
      </c>
      <c r="C246" s="316">
        <v>100</v>
      </c>
      <c r="D246" s="316">
        <v>100</v>
      </c>
      <c r="E246" s="316">
        <v>100</v>
      </c>
      <c r="F246" s="316">
        <v>100</v>
      </c>
      <c r="G246" s="3"/>
      <c r="H246" s="3"/>
    </row>
    <row r="247" spans="1:8" x14ac:dyDescent="0.2">
      <c r="A247" s="12" t="s">
        <v>1231</v>
      </c>
      <c r="B247" s="10" t="s">
        <v>962</v>
      </c>
      <c r="C247" s="316">
        <v>100</v>
      </c>
      <c r="D247" s="316">
        <v>100</v>
      </c>
      <c r="E247" s="316">
        <v>100</v>
      </c>
      <c r="F247" s="316">
        <v>100</v>
      </c>
      <c r="G247" s="3"/>
      <c r="H247" s="3"/>
    </row>
    <row r="248" spans="1:8" x14ac:dyDescent="0.2">
      <c r="A248" s="12" t="s">
        <v>1232</v>
      </c>
      <c r="B248" s="10" t="s">
        <v>974</v>
      </c>
      <c r="C248" s="316">
        <v>100</v>
      </c>
      <c r="D248" s="316">
        <v>100</v>
      </c>
      <c r="E248" s="316">
        <v>100</v>
      </c>
      <c r="F248" s="316">
        <v>100</v>
      </c>
      <c r="G248" s="3"/>
      <c r="H248" s="3"/>
    </row>
    <row r="249" spans="1:8" x14ac:dyDescent="0.2">
      <c r="A249" s="12" t="s">
        <v>1233</v>
      </c>
      <c r="B249" s="10" t="s">
        <v>926</v>
      </c>
      <c r="C249" s="316">
        <v>100</v>
      </c>
      <c r="D249" s="316">
        <v>100</v>
      </c>
      <c r="E249" s="316">
        <v>100</v>
      </c>
      <c r="F249" s="316">
        <v>100</v>
      </c>
      <c r="G249" s="3"/>
      <c r="H249" s="3"/>
    </row>
    <row r="250" spans="1:8" x14ac:dyDescent="0.2">
      <c r="A250" s="12" t="s">
        <v>1234</v>
      </c>
      <c r="B250" s="10" t="s">
        <v>956</v>
      </c>
      <c r="C250" s="316">
        <v>100</v>
      </c>
      <c r="D250" s="316">
        <v>100</v>
      </c>
      <c r="E250" s="316">
        <v>100</v>
      </c>
      <c r="F250" s="316">
        <v>100</v>
      </c>
      <c r="G250" s="3"/>
      <c r="H250" s="3"/>
    </row>
    <row r="251" spans="1:8" x14ac:dyDescent="0.2">
      <c r="A251" s="12" t="s">
        <v>1235</v>
      </c>
      <c r="B251" s="10" t="s">
        <v>957</v>
      </c>
      <c r="C251" s="316">
        <v>100</v>
      </c>
      <c r="D251" s="316">
        <v>100</v>
      </c>
      <c r="E251" s="316">
        <v>100</v>
      </c>
      <c r="F251" s="316">
        <v>100</v>
      </c>
      <c r="G251" s="3"/>
      <c r="H251" s="3"/>
    </row>
    <row r="252" spans="1:8" x14ac:dyDescent="0.2">
      <c r="A252" s="12" t="s">
        <v>976</v>
      </c>
      <c r="B252" s="10" t="s">
        <v>957</v>
      </c>
      <c r="C252" s="316">
        <v>200</v>
      </c>
      <c r="D252" s="316">
        <v>100</v>
      </c>
      <c r="E252" s="316">
        <v>200</v>
      </c>
      <c r="F252" s="316">
        <v>100</v>
      </c>
      <c r="G252" s="3"/>
      <c r="H252" s="3"/>
    </row>
    <row r="253" spans="1:8" x14ac:dyDescent="0.2">
      <c r="A253" s="12" t="s">
        <v>1236</v>
      </c>
      <c r="B253" s="10" t="s">
        <v>938</v>
      </c>
      <c r="C253" s="316">
        <v>100</v>
      </c>
      <c r="D253" s="316">
        <v>100</v>
      </c>
      <c r="E253" s="316">
        <v>100</v>
      </c>
      <c r="F253" s="316">
        <v>100</v>
      </c>
      <c r="G253" s="3"/>
      <c r="H253" s="3"/>
    </row>
    <row r="254" spans="1:8" x14ac:dyDescent="0.2">
      <c r="A254" s="12" t="s">
        <v>1237</v>
      </c>
      <c r="B254" s="10" t="s">
        <v>990</v>
      </c>
      <c r="C254" s="316">
        <v>100</v>
      </c>
      <c r="D254" s="316">
        <v>100</v>
      </c>
      <c r="E254" s="316">
        <v>100</v>
      </c>
      <c r="F254" s="316">
        <v>100</v>
      </c>
      <c r="G254" s="3"/>
      <c r="H254" s="3"/>
    </row>
    <row r="255" spans="1:8" x14ac:dyDescent="0.2">
      <c r="A255" s="12" t="s">
        <v>1238</v>
      </c>
      <c r="B255" s="10" t="s">
        <v>974</v>
      </c>
      <c r="C255" s="316">
        <v>100</v>
      </c>
      <c r="D255" s="316">
        <v>100</v>
      </c>
      <c r="E255" s="316">
        <v>100</v>
      </c>
      <c r="F255" s="316">
        <v>100</v>
      </c>
      <c r="G255" s="3"/>
      <c r="H255" s="3"/>
    </row>
    <row r="256" spans="1:8" x14ac:dyDescent="0.2">
      <c r="A256" s="12" t="s">
        <v>1239</v>
      </c>
      <c r="B256" s="10" t="s">
        <v>957</v>
      </c>
      <c r="C256" s="316">
        <v>100</v>
      </c>
      <c r="D256" s="316">
        <v>100</v>
      </c>
      <c r="E256" s="316">
        <v>100</v>
      </c>
      <c r="F256" s="316">
        <v>100</v>
      </c>
      <c r="G256" s="3"/>
      <c r="H256" s="3"/>
    </row>
    <row r="257" spans="1:8" x14ac:dyDescent="0.2">
      <c r="A257" s="12" t="s">
        <v>1240</v>
      </c>
      <c r="B257" s="10" t="s">
        <v>927</v>
      </c>
      <c r="C257" s="316">
        <v>100</v>
      </c>
      <c r="D257" s="316">
        <v>100</v>
      </c>
      <c r="E257" s="316">
        <v>100</v>
      </c>
      <c r="F257" s="316">
        <v>100</v>
      </c>
      <c r="G257" s="3"/>
      <c r="H257" s="3"/>
    </row>
    <row r="258" spans="1:8" x14ac:dyDescent="0.2">
      <c r="A258" s="12" t="s">
        <v>1241</v>
      </c>
      <c r="B258" s="10" t="s">
        <v>961</v>
      </c>
      <c r="C258" s="316">
        <v>100</v>
      </c>
      <c r="D258" s="316">
        <v>100</v>
      </c>
      <c r="E258" s="316">
        <v>100</v>
      </c>
      <c r="F258" s="316">
        <v>100</v>
      </c>
      <c r="G258" s="3"/>
      <c r="H258" s="3"/>
    </row>
    <row r="259" spans="1:8" x14ac:dyDescent="0.2">
      <c r="A259" s="12" t="s">
        <v>1242</v>
      </c>
      <c r="B259" s="10" t="s">
        <v>961</v>
      </c>
      <c r="C259" s="316">
        <v>100</v>
      </c>
      <c r="D259" s="316">
        <v>100</v>
      </c>
      <c r="E259" s="316">
        <v>100</v>
      </c>
      <c r="F259" s="316">
        <v>100</v>
      </c>
      <c r="G259" s="3"/>
      <c r="H259" s="3"/>
    </row>
    <row r="260" spans="1:8" x14ac:dyDescent="0.2">
      <c r="A260" s="12" t="s">
        <v>1243</v>
      </c>
      <c r="B260" s="10" t="s">
        <v>970</v>
      </c>
      <c r="C260" s="316">
        <v>100</v>
      </c>
      <c r="D260" s="316">
        <v>100</v>
      </c>
      <c r="E260" s="316">
        <v>100</v>
      </c>
      <c r="F260" s="316">
        <v>100</v>
      </c>
      <c r="G260" s="3"/>
      <c r="H260" s="3"/>
    </row>
    <row r="261" spans="1:8" x14ac:dyDescent="0.2">
      <c r="A261" s="12" t="s">
        <v>1244</v>
      </c>
      <c r="B261" s="10" t="s">
        <v>949</v>
      </c>
      <c r="C261" s="316">
        <v>100</v>
      </c>
      <c r="D261" s="316">
        <v>100</v>
      </c>
      <c r="E261" s="316">
        <v>100</v>
      </c>
      <c r="F261" s="316">
        <v>100</v>
      </c>
      <c r="G261" s="3"/>
      <c r="H261" s="3"/>
    </row>
    <row r="262" spans="1:8" x14ac:dyDescent="0.2">
      <c r="A262" s="12" t="s">
        <v>1245</v>
      </c>
      <c r="B262" s="10" t="s">
        <v>962</v>
      </c>
      <c r="C262" s="316">
        <v>100</v>
      </c>
      <c r="D262" s="316">
        <v>100</v>
      </c>
      <c r="E262" s="316">
        <v>100</v>
      </c>
      <c r="F262" s="316">
        <v>100</v>
      </c>
      <c r="G262" s="3"/>
      <c r="H262" s="3"/>
    </row>
    <row r="263" spans="1:8" x14ac:dyDescent="0.2">
      <c r="A263" s="12" t="s">
        <v>1246</v>
      </c>
      <c r="B263" s="10" t="s">
        <v>938</v>
      </c>
      <c r="C263" s="316">
        <v>100</v>
      </c>
      <c r="D263" s="316">
        <v>100</v>
      </c>
      <c r="E263" s="316">
        <v>100</v>
      </c>
      <c r="F263" s="316">
        <v>100</v>
      </c>
      <c r="G263" s="3"/>
      <c r="H263" s="3"/>
    </row>
    <row r="264" spans="1:8" x14ac:dyDescent="0.2">
      <c r="A264" s="12" t="s">
        <v>1247</v>
      </c>
      <c r="B264" s="10" t="s">
        <v>982</v>
      </c>
      <c r="C264" s="316">
        <v>100</v>
      </c>
      <c r="D264" s="316">
        <v>100</v>
      </c>
      <c r="E264" s="316">
        <v>100</v>
      </c>
      <c r="F264" s="316">
        <v>100</v>
      </c>
      <c r="G264" s="3"/>
      <c r="H264" s="3"/>
    </row>
    <row r="265" spans="1:8" x14ac:dyDescent="0.2">
      <c r="A265" s="12" t="s">
        <v>1248</v>
      </c>
      <c r="B265" s="10" t="s">
        <v>926</v>
      </c>
      <c r="C265" s="316">
        <v>100</v>
      </c>
      <c r="D265" s="316">
        <v>100</v>
      </c>
      <c r="E265" s="316">
        <v>100</v>
      </c>
      <c r="F265" s="316">
        <v>100</v>
      </c>
      <c r="G265" s="3"/>
      <c r="H265" s="3"/>
    </row>
    <row r="266" spans="1:8" x14ac:dyDescent="0.2">
      <c r="A266" s="12" t="s">
        <v>1249</v>
      </c>
      <c r="B266" s="10" t="s">
        <v>978</v>
      </c>
      <c r="C266" s="316">
        <v>100</v>
      </c>
      <c r="D266" s="316">
        <v>100</v>
      </c>
      <c r="E266" s="316">
        <v>100</v>
      </c>
      <c r="F266" s="316">
        <v>100</v>
      </c>
      <c r="G266" s="3"/>
      <c r="H266" s="3"/>
    </row>
    <row r="267" spans="1:8" x14ac:dyDescent="0.2">
      <c r="A267" s="12" t="s">
        <v>1250</v>
      </c>
      <c r="B267" s="10" t="s">
        <v>961</v>
      </c>
      <c r="C267" s="316">
        <v>100</v>
      </c>
      <c r="D267" s="316">
        <v>100</v>
      </c>
      <c r="E267" s="316">
        <v>100</v>
      </c>
      <c r="F267" s="316">
        <v>100</v>
      </c>
      <c r="G267" s="3"/>
      <c r="H267" s="3"/>
    </row>
    <row r="268" spans="1:8" x14ac:dyDescent="0.2">
      <c r="A268" s="12" t="s">
        <v>1251</v>
      </c>
      <c r="B268" s="10" t="s">
        <v>974</v>
      </c>
      <c r="C268" s="316">
        <v>100</v>
      </c>
      <c r="D268" s="316">
        <v>100</v>
      </c>
      <c r="E268" s="316">
        <v>100</v>
      </c>
      <c r="F268" s="316">
        <v>100</v>
      </c>
      <c r="G268" s="3"/>
      <c r="H268" s="3"/>
    </row>
    <row r="269" spans="1:8" x14ac:dyDescent="0.2">
      <c r="A269" s="13" t="s">
        <v>1252</v>
      </c>
      <c r="B269" s="14" t="s">
        <v>974</v>
      </c>
      <c r="C269" s="316">
        <v>100</v>
      </c>
      <c r="D269" s="316">
        <v>100</v>
      </c>
      <c r="E269" s="316">
        <v>100</v>
      </c>
      <c r="F269" s="316">
        <v>100</v>
      </c>
      <c r="G269" s="3"/>
      <c r="H269" s="3"/>
    </row>
    <row r="274" spans="1:3" ht="13.5" thickBot="1" x14ac:dyDescent="0.25">
      <c r="A274" t="s">
        <v>1253</v>
      </c>
    </row>
    <row r="275" spans="1:3" ht="114" thickBot="1" x14ac:dyDescent="0.25">
      <c r="A275" s="438" t="s">
        <v>797</v>
      </c>
      <c r="B275" s="439" t="s">
        <v>798</v>
      </c>
      <c r="C275" s="439" t="s">
        <v>799</v>
      </c>
    </row>
    <row r="276" spans="1:3" ht="15.75" thickBot="1" x14ac:dyDescent="0.25">
      <c r="A276" s="431" t="s">
        <v>800</v>
      </c>
      <c r="B276" s="440">
        <v>131400</v>
      </c>
      <c r="C276" s="432">
        <v>100</v>
      </c>
    </row>
    <row r="277" spans="1:3" ht="45.75" thickBot="1" x14ac:dyDescent="0.25">
      <c r="A277" s="431" t="s">
        <v>801</v>
      </c>
      <c r="B277" s="440">
        <v>262800</v>
      </c>
      <c r="C277" s="432">
        <v>200</v>
      </c>
    </row>
  </sheetData>
  <sheetProtection algorithmName="SHA-512" hashValue="NY2N+1EVrcfZ1HClSCXRxVudOZgp/g8A/24z3L4KQPGXTTBvG1jxR/8b3hOCRgzkjp/uK868uac9/rsqzMbpRQ==" saltValue="LpZTeMzUcP+0bmQ0rjHTbA==" spinCount="100000" sheet="1" objects="1" scenarios="1" formatColumns="0" formatRows="0" autoFilter="0"/>
  <dataConsolidate/>
  <mergeCells count="15">
    <mergeCell ref="H57:J57"/>
    <mergeCell ref="H58:J58"/>
    <mergeCell ref="H49:J49"/>
    <mergeCell ref="H50:J50"/>
    <mergeCell ref="H51:J51"/>
    <mergeCell ref="H52:J52"/>
    <mergeCell ref="H53:J53"/>
    <mergeCell ref="H54:J54"/>
    <mergeCell ref="H55:J55"/>
    <mergeCell ref="A14:J14"/>
    <mergeCell ref="P14:Q14"/>
    <mergeCell ref="R14:S14"/>
    <mergeCell ref="H48:K48"/>
    <mergeCell ref="H56:J56"/>
    <mergeCell ref="H39:J39"/>
  </mergeCells>
  <hyperlinks>
    <hyperlink ref="H50" r:id="rId1" location="'6004Checklist'!$E$29" display="AH_Comments_Ready_For_Testing_PI-1S-CBP_UNLOCKED.xlsx - '6004Checklist'!$E$29" xr:uid="{2F6F5403-13CE-4654-9F72-28DEC04BB07F}"/>
    <hyperlink ref="H51" r:id="rId2" location="'6004Checklist'!$E$68" display="AH_Comments_Ready_For_Testing_PI-1S-CBP_UNLOCKED.xlsx - '6004Checklist'!$E$68" xr:uid="{4C4CD66E-BAA8-4B38-A2D5-4226CB5119E4}"/>
    <hyperlink ref="H52" r:id="rId3" location="'6004Checklist'!$E$69" display="AH_Comments_Ready_For_Testing_PI-1S-CBP_UNLOCKED.xlsx - '6004Checklist'!$E$69" xr:uid="{5274C948-7100-4DF8-AD5B-EE671BDEE974}"/>
    <hyperlink ref="H53" r:id="rId4" location="'6004Checklist'!$E$70" display="AH_Comments_Ready_For_Testing_PI-1S-CBP_UNLOCKED.xlsx - '6004Checklist'!$E$70" xr:uid="{78BE19CC-6937-4856-BE8D-8A9349DCF2F0}"/>
    <hyperlink ref="H54" r:id="rId5" location="'6004Checklist'!$E$72" display="AH_Comments_Ready_For_Testing_PI-1S-CBP_UNLOCKED.xlsx - '6004Checklist'!$E$72" xr:uid="{DF0C856A-AC9A-4E7E-84A6-6202E163E0EF}"/>
    <hyperlink ref="H55" r:id="rId6" location="'6004Checklist'!$E$76" display="AH_Comments_Ready_For_Testing_PI-1S-CBP_UNLOCKED.xlsx - '6004Checklist'!$E$76" xr:uid="{C5BAECC7-D0B2-4284-8F9B-2F6D840A4DDF}"/>
    <hyperlink ref="H56" r:id="rId7" location="'6004Checklist'!$E$82" display="AH_Comments_Ready_For_Testing_PI-1S-CBP_UNLOCKED.xlsx - '6004Checklist'!$E$82" xr:uid="{3B5E526D-11E1-4D4C-9CFA-BFAE733EEA0D}"/>
    <hyperlink ref="H57" r:id="rId8" location="'6004Checklist'!$E$83" display="AH_Comments_Ready_For_Testing_PI-1S-CBP_UNLOCKED.xlsx - '6004Checklist'!$E$83" xr:uid="{9410C497-EABC-433D-88D1-30EC25492704}"/>
    <hyperlink ref="H58" r:id="rId9" location="'6004Checklist'!$E$100" display="AH_Comments_Ready_For_Testing_PI-1S-CBP_UNLOCKED.xlsx - '6004Checklist'!$E$100" xr:uid="{B665F973-4D46-4BE7-855A-7E02111B9B4D}"/>
  </hyperlinks>
  <pageMargins left="0.25" right="0.25" top="1" bottom="0.5" header="0.3" footer="0.3"/>
  <pageSetup scale="88" orientation="portrait" r:id="rId10"/>
  <headerFooter scaleWithDoc="0">
    <oddHeader>&amp;C&amp;"Arial,Bold"Texas Commission on Environmental Quality
Form PI-1 General Application&amp;11
&amp;10&amp;A&amp;RDate: ____________
Permit #: ____________
Company: ____________</oddHeader>
    <oddFooter>&amp;CPage &amp;P&amp;LVersion 5.2</oddFooter>
  </headerFooter>
  <extLst>
    <ext xmlns:x14="http://schemas.microsoft.com/office/spreadsheetml/2009/9/main" uri="{78C0D931-6437-407d-A8EE-F0AAD7539E65}">
      <x14:conditionalFormattings>
        <x14:conditionalFormatting xmlns:xm="http://schemas.microsoft.com/office/excel/2006/main">
          <x14:cfRule type="expression" priority="1" id="{E0939484-E00B-4804-9B53-0C4F44D28C0B}">
            <xm:f>'PI-1S-CBP'!$B$6= "I disagree"</xm:f>
            <x14:dxf>
              <font>
                <color theme="0" tint="-0.499984740745262"/>
              </font>
              <fill>
                <patternFill>
                  <bgColor theme="0" tint="-0.499984740745262"/>
                </patternFill>
              </fill>
            </x14:dxf>
          </x14:cfRule>
          <x14:cfRule type="expression" priority="2" id="{188AAFCE-6ACC-4725-8773-35B8AB98F006}">
            <xm:f>OR('PI-1S-CBP'!$B$11&lt;&gt;"",COUNTIF('6004Checklist'!$A$23,"*temporary*")&gt;0)</xm:f>
            <x14:dxf>
              <numFmt numFmtId="166" formatCode=";;;"/>
              <fill>
                <patternFill>
                  <bgColor theme="0" tint="-0.499984740745262"/>
                </patternFill>
              </fill>
            </x14:dxf>
          </x14:cfRule>
          <xm:sqref>A275:C277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9D846-3BB9-4F85-96FE-CD46903FDCC6}">
  <sheetPr codeName="Sheet5">
    <tabColor rgb="FFFFDCDC"/>
    <pageSetUpPr autoPageBreaks="0"/>
  </sheetPr>
  <dimension ref="A1:I190"/>
  <sheetViews>
    <sheetView showGridLines="0" zoomScaleNormal="100" workbookViewId="0">
      <selection sqref="A1:B1"/>
    </sheetView>
  </sheetViews>
  <sheetFormatPr defaultColWidth="0" defaultRowHeight="12.75" zeroHeight="1" x14ac:dyDescent="0.2"/>
  <cols>
    <col min="1" max="1" width="70.7109375" style="194" customWidth="1"/>
    <col min="2" max="2" width="70.7109375" style="4" customWidth="1"/>
    <col min="3" max="3" width="50.7109375" style="5" customWidth="1"/>
    <col min="4" max="4" width="9.140625" hidden="1" customWidth="1"/>
    <col min="5" max="5" width="60.5703125" style="5" hidden="1" customWidth="1"/>
    <col min="6" max="7" width="19.28515625" style="5" hidden="1" customWidth="1"/>
    <col min="8" max="8" width="15.5703125" style="5" hidden="1" customWidth="1"/>
    <col min="9" max="9" width="47.5703125" style="5" hidden="1" customWidth="1"/>
    <col min="10" max="16384" width="9.140625" style="5" hidden="1"/>
  </cols>
  <sheetData>
    <row r="1" spans="1:9" ht="36" customHeight="1" thickBot="1" x14ac:dyDescent="0.25">
      <c r="A1" s="629" t="s">
        <v>24</v>
      </c>
      <c r="B1" s="630"/>
      <c r="C1" s="24" t="s">
        <v>46</v>
      </c>
      <c r="E1" s="5" t="s">
        <v>47</v>
      </c>
      <c r="F1" s="5" t="s">
        <v>48</v>
      </c>
      <c r="G1" s="5" t="s">
        <v>49</v>
      </c>
      <c r="H1" s="5" t="s">
        <v>50</v>
      </c>
      <c r="I1" s="5" t="s">
        <v>51</v>
      </c>
    </row>
    <row r="2" spans="1:9" ht="15" customHeight="1" thickBot="1" x14ac:dyDescent="0.25">
      <c r="A2" s="288" t="s">
        <v>52</v>
      </c>
      <c r="B2" s="175"/>
      <c r="C2" s="207"/>
      <c r="D2" s="5"/>
    </row>
    <row r="3" spans="1:9" ht="120.75" customHeight="1" thickBot="1" x14ac:dyDescent="0.25">
      <c r="A3" s="631" t="s">
        <v>1278</v>
      </c>
      <c r="B3" s="632"/>
      <c r="C3" s="58" t="s">
        <v>53</v>
      </c>
    </row>
    <row r="4" spans="1:9" ht="15" customHeight="1" thickBot="1" x14ac:dyDescent="0.25">
      <c r="A4" s="633"/>
      <c r="B4" s="634"/>
      <c r="C4" s="234"/>
    </row>
    <row r="5" spans="1:9" ht="15" customHeight="1" thickBot="1" x14ac:dyDescent="0.25">
      <c r="A5" s="635" t="s">
        <v>54</v>
      </c>
      <c r="B5" s="636"/>
      <c r="C5" s="20"/>
      <c r="D5" s="5"/>
      <c r="G5" s="414" t="s">
        <v>55</v>
      </c>
    </row>
    <row r="6" spans="1:9" ht="80.25" customHeight="1" thickBot="1" x14ac:dyDescent="0.25">
      <c r="A6" s="212" t="s">
        <v>56</v>
      </c>
      <c r="B6" s="205"/>
      <c r="C6" s="20"/>
      <c r="D6" s="5"/>
      <c r="E6" s="5" t="s">
        <v>57</v>
      </c>
      <c r="F6" s="5">
        <f>IF($B$6="I disagree", 1, 0)</f>
        <v>0</v>
      </c>
      <c r="G6" s="415">
        <f>IF($B$6="I disagree", 1, 0)</f>
        <v>0</v>
      </c>
    </row>
    <row r="7" spans="1:9" ht="15" x14ac:dyDescent="0.2">
      <c r="A7" s="637" t="s">
        <v>58</v>
      </c>
      <c r="B7" s="638"/>
      <c r="C7" s="20"/>
      <c r="D7" s="5"/>
      <c r="G7" s="414" t="s">
        <v>59</v>
      </c>
    </row>
    <row r="8" spans="1:9" ht="74.25" customHeight="1" x14ac:dyDescent="0.2">
      <c r="A8" s="639" t="s">
        <v>60</v>
      </c>
      <c r="B8" s="640"/>
      <c r="C8" s="20"/>
    </row>
    <row r="9" spans="1:9" ht="15" customHeight="1" x14ac:dyDescent="0.2">
      <c r="A9" s="457" t="s">
        <v>61</v>
      </c>
      <c r="B9" s="458" t="s">
        <v>62</v>
      </c>
      <c r="C9" s="20"/>
      <c r="E9" s="5" t="s">
        <v>63</v>
      </c>
    </row>
    <row r="10" spans="1:9" ht="15" customHeight="1" x14ac:dyDescent="0.2">
      <c r="A10" s="323" t="s">
        <v>7</v>
      </c>
      <c r="B10" s="459"/>
      <c r="C10" s="20"/>
      <c r="E10" s="5" t="s">
        <v>64</v>
      </c>
      <c r="G10" s="5">
        <f>IF($B$11&lt;&gt;"",1,0)</f>
        <v>0</v>
      </c>
    </row>
    <row r="11" spans="1:9" ht="15" customHeight="1" x14ac:dyDescent="0.2">
      <c r="A11" s="322" t="s">
        <v>8</v>
      </c>
      <c r="B11" s="460"/>
      <c r="C11" s="20"/>
      <c r="D11" s="5"/>
      <c r="E11" s="5" t="s">
        <v>65</v>
      </c>
      <c r="G11" s="5">
        <f>IF($B$10&lt;&gt;"",1,0)</f>
        <v>0</v>
      </c>
      <c r="H11" s="5" t="b">
        <f>$B$10&lt;&gt;"Change of Representations"</f>
        <v>1</v>
      </c>
    </row>
    <row r="12" spans="1:9" ht="15" customHeight="1" x14ac:dyDescent="0.2">
      <c r="A12" s="322" t="s">
        <v>66</v>
      </c>
      <c r="B12" s="461"/>
      <c r="C12" s="20"/>
      <c r="D12" s="5"/>
      <c r="G12" s="5">
        <f>IF(OR($B$10="Initial", $B$11="Initial"), 1, 0)</f>
        <v>0</v>
      </c>
      <c r="H12" s="5" t="b">
        <f>$B$11&lt;&gt;"Change of Representations"</f>
        <v>1</v>
      </c>
    </row>
    <row r="13" spans="1:9" ht="15" customHeight="1" thickBot="1" x14ac:dyDescent="0.25">
      <c r="A13" s="530" t="s">
        <v>67</v>
      </c>
      <c r="B13" s="462"/>
      <c r="C13" s="20"/>
      <c r="D13" s="5"/>
      <c r="G13" s="5">
        <f>IF(OR($B$10="Initial", $B$11="Initial"), 1, 0)</f>
        <v>0</v>
      </c>
    </row>
    <row r="14" spans="1:9" ht="15" customHeight="1" x14ac:dyDescent="0.2">
      <c r="A14" s="641" t="s">
        <v>68</v>
      </c>
      <c r="B14" s="642"/>
      <c r="C14" s="20"/>
      <c r="D14" s="5"/>
      <c r="E14" s="5" t="s">
        <v>69</v>
      </c>
      <c r="G14" s="5">
        <f t="shared" ref="G14:G26" si="0">IF(OR((AND($B$11="", $H$11)), AND($B$10="", $H$12)), 1, 0)</f>
        <v>1</v>
      </c>
    </row>
    <row r="15" spans="1:9" ht="15" customHeight="1" x14ac:dyDescent="0.2">
      <c r="A15" s="463" t="s">
        <v>70</v>
      </c>
      <c r="B15" s="464" t="s">
        <v>71</v>
      </c>
      <c r="C15" s="20"/>
      <c r="D15" s="5"/>
      <c r="G15" s="5">
        <f t="shared" si="0"/>
        <v>1</v>
      </c>
    </row>
    <row r="16" spans="1:9" ht="14.1" customHeight="1" x14ac:dyDescent="0.2">
      <c r="A16" s="444" t="s">
        <v>72</v>
      </c>
      <c r="B16" s="465"/>
      <c r="C16" s="20"/>
      <c r="D16" s="5"/>
      <c r="E16" s="5" t="s">
        <v>69</v>
      </c>
      <c r="G16" s="5">
        <f t="shared" si="0"/>
        <v>1</v>
      </c>
    </row>
    <row r="17" spans="1:8" ht="30" customHeight="1" x14ac:dyDescent="0.2">
      <c r="A17" s="444" t="s">
        <v>73</v>
      </c>
      <c r="B17" s="466"/>
      <c r="C17" s="20"/>
      <c r="D17" s="5"/>
      <c r="E17" s="5" t="s">
        <v>69</v>
      </c>
      <c r="G17" s="5">
        <f t="shared" si="0"/>
        <v>1</v>
      </c>
    </row>
    <row r="18" spans="1:8" ht="30" customHeight="1" x14ac:dyDescent="0.2">
      <c r="A18" s="444" t="s">
        <v>74</v>
      </c>
      <c r="B18" s="466"/>
      <c r="C18" s="20"/>
      <c r="D18" s="5"/>
      <c r="E18" s="5" t="s">
        <v>69</v>
      </c>
      <c r="G18" s="5">
        <f t="shared" si="0"/>
        <v>1</v>
      </c>
    </row>
    <row r="19" spans="1:8" ht="30" customHeight="1" x14ac:dyDescent="0.2">
      <c r="A19" s="444" t="s">
        <v>75</v>
      </c>
      <c r="B19" s="466"/>
      <c r="C19" s="20"/>
      <c r="D19" s="5"/>
      <c r="E19" s="5" t="s">
        <v>69</v>
      </c>
      <c r="G19" s="5">
        <f t="shared" si="0"/>
        <v>1</v>
      </c>
    </row>
    <row r="20" spans="1:8" ht="15" customHeight="1" x14ac:dyDescent="0.2">
      <c r="A20" s="444" t="s">
        <v>76</v>
      </c>
      <c r="B20" s="466"/>
      <c r="C20" s="20"/>
      <c r="D20" s="5"/>
      <c r="E20" s="5" t="s">
        <v>69</v>
      </c>
      <c r="G20" s="5">
        <f t="shared" si="0"/>
        <v>1</v>
      </c>
    </row>
    <row r="21" spans="1:8" ht="15" customHeight="1" x14ac:dyDescent="0.2">
      <c r="A21" s="444" t="s">
        <v>77</v>
      </c>
      <c r="B21" s="466"/>
      <c r="C21" s="20"/>
      <c r="D21" s="5"/>
      <c r="E21" s="5" t="s">
        <v>69</v>
      </c>
      <c r="G21" s="5">
        <f t="shared" si="0"/>
        <v>1</v>
      </c>
    </row>
    <row r="22" spans="1:8" ht="15" customHeight="1" x14ac:dyDescent="0.2">
      <c r="A22" s="444" t="s">
        <v>78</v>
      </c>
      <c r="B22" s="466"/>
      <c r="C22" s="20"/>
      <c r="D22" s="5"/>
      <c r="E22" s="5" t="s">
        <v>69</v>
      </c>
      <c r="G22" s="5">
        <f t="shared" si="0"/>
        <v>1</v>
      </c>
    </row>
    <row r="23" spans="1:8" ht="15" customHeight="1" x14ac:dyDescent="0.2">
      <c r="A23" s="444" t="s">
        <v>79</v>
      </c>
      <c r="B23" s="466"/>
      <c r="C23" s="20"/>
      <c r="D23" s="5"/>
      <c r="E23" s="5" t="s">
        <v>69</v>
      </c>
      <c r="G23" s="5">
        <f t="shared" si="0"/>
        <v>1</v>
      </c>
    </row>
    <row r="24" spans="1:8" ht="15" customHeight="1" x14ac:dyDescent="0.2">
      <c r="A24" s="444" t="s">
        <v>80</v>
      </c>
      <c r="B24" s="466"/>
      <c r="C24" s="20"/>
      <c r="D24" s="5"/>
      <c r="E24" s="5" t="s">
        <v>69</v>
      </c>
      <c r="G24" s="5">
        <f t="shared" si="0"/>
        <v>1</v>
      </c>
    </row>
    <row r="25" spans="1:8" ht="30.75" customHeight="1" x14ac:dyDescent="0.2">
      <c r="A25" s="467" t="s">
        <v>81</v>
      </c>
      <c r="B25" s="468"/>
      <c r="C25" s="20"/>
      <c r="D25" s="5"/>
      <c r="E25" s="5" t="s">
        <v>69</v>
      </c>
      <c r="G25" s="5">
        <f t="shared" si="0"/>
        <v>1</v>
      </c>
    </row>
    <row r="26" spans="1:8" ht="39" customHeight="1" thickBot="1" x14ac:dyDescent="0.25">
      <c r="A26" s="643" t="str">
        <f>IF(AND(B16="",B17="",B18="",B19="",B20="",B21="",B22="",B25="",B23="",B24=""),"",IF(B16="yes","This change of representation requires a completed PI-1S-CBP (this workbook), an application fee, and public notice (unless the project meets the public works requirements).",IF(OR(B17="Yes",B18="Yes",B19="Yes",B21="yes",B22="yes"),"This change of representation requires a completed PI-1S-CBP (this workbook) and an application fee (unless the project meets the public works requirements).","This change of representation requires a completed PI-1S-CBP (this workbook).")))</f>
        <v/>
      </c>
      <c r="B26" s="644"/>
      <c r="C26" s="20"/>
      <c r="D26" s="5"/>
      <c r="E26" s="5" t="s">
        <v>69</v>
      </c>
      <c r="G26" s="5">
        <f t="shared" si="0"/>
        <v>1</v>
      </c>
    </row>
    <row r="27" spans="1:8" ht="15" customHeight="1" thickBot="1" x14ac:dyDescent="0.25">
      <c r="A27" s="231" t="s">
        <v>70</v>
      </c>
      <c r="B27" s="469" t="s">
        <v>71</v>
      </c>
      <c r="C27" s="20"/>
      <c r="D27" s="5"/>
      <c r="G27" s="5">
        <f>IF($G$10=1,1,0)</f>
        <v>0</v>
      </c>
    </row>
    <row r="28" spans="1:8" ht="60" customHeight="1" x14ac:dyDescent="0.2">
      <c r="A28" s="470" t="s">
        <v>82</v>
      </c>
      <c r="B28" s="471"/>
      <c r="C28" s="20"/>
      <c r="D28" s="5"/>
      <c r="E28" s="5" t="s">
        <v>83</v>
      </c>
      <c r="H28" s="5" t="s">
        <v>1272</v>
      </c>
    </row>
    <row r="29" spans="1:8" ht="60" customHeight="1" x14ac:dyDescent="0.2">
      <c r="A29" s="444" t="s">
        <v>84</v>
      </c>
      <c r="B29" s="465"/>
      <c r="C29" s="20"/>
      <c r="D29" s="5"/>
      <c r="E29" s="5" t="s">
        <v>83</v>
      </c>
      <c r="H29" s="5" t="s">
        <v>1272</v>
      </c>
    </row>
    <row r="30" spans="1:8" ht="45" customHeight="1" thickBot="1" x14ac:dyDescent="0.25">
      <c r="A30" s="645" t="s">
        <v>85</v>
      </c>
      <c r="B30" s="646"/>
      <c r="C30" s="20"/>
      <c r="D30" s="5"/>
      <c r="E30" s="5" t="s">
        <v>86</v>
      </c>
      <c r="G30" s="5">
        <f>IF(AND(B28="no",B29="no"),1,0)</f>
        <v>0</v>
      </c>
      <c r="H30" s="5" t="s">
        <v>1272</v>
      </c>
    </row>
    <row r="31" spans="1:8" ht="14.1" customHeight="1" thickBot="1" x14ac:dyDescent="0.25">
      <c r="A31" s="647" t="s">
        <v>87</v>
      </c>
      <c r="B31" s="648"/>
      <c r="C31" s="20"/>
      <c r="D31" s="5"/>
    </row>
    <row r="32" spans="1:8" ht="14.25" x14ac:dyDescent="0.2">
      <c r="A32" s="195" t="s">
        <v>88</v>
      </c>
      <c r="B32" s="236"/>
      <c r="C32" s="20"/>
      <c r="D32" s="5"/>
    </row>
    <row r="33" spans="1:4" ht="45" customHeight="1" x14ac:dyDescent="0.2">
      <c r="A33" s="649" t="s">
        <v>89</v>
      </c>
      <c r="B33" s="650"/>
      <c r="C33" s="20"/>
      <c r="D33" s="5"/>
    </row>
    <row r="34" spans="1:4" ht="15" customHeight="1" x14ac:dyDescent="0.2">
      <c r="A34" s="627" t="s">
        <v>90</v>
      </c>
      <c r="B34" s="628"/>
      <c r="C34" s="20"/>
      <c r="D34" s="5"/>
    </row>
    <row r="35" spans="1:4" ht="15" thickBot="1" x14ac:dyDescent="0.25">
      <c r="A35" s="287" t="s">
        <v>91</v>
      </c>
      <c r="B35" s="324"/>
      <c r="C35" s="20"/>
      <c r="D35" s="5"/>
    </row>
    <row r="36" spans="1:4" ht="15" customHeight="1" x14ac:dyDescent="0.2">
      <c r="A36" s="637" t="s">
        <v>92</v>
      </c>
      <c r="B36" s="638"/>
      <c r="C36" s="20"/>
      <c r="D36" s="5"/>
    </row>
    <row r="37" spans="1:4" ht="15" customHeight="1" thickBot="1" x14ac:dyDescent="0.25">
      <c r="A37" s="472" t="s">
        <v>70</v>
      </c>
      <c r="B37" s="473" t="s">
        <v>71</v>
      </c>
      <c r="C37" s="20"/>
      <c r="D37" s="5"/>
    </row>
    <row r="38" spans="1:4" customFormat="1" ht="15" customHeight="1" x14ac:dyDescent="0.2">
      <c r="A38" s="195" t="s">
        <v>93</v>
      </c>
      <c r="B38" s="326"/>
      <c r="C38" s="20"/>
    </row>
    <row r="39" spans="1:4" customFormat="1" ht="15" customHeight="1" x14ac:dyDescent="0.2">
      <c r="A39" s="195" t="s">
        <v>94</v>
      </c>
      <c r="B39" s="326"/>
      <c r="C39" s="20"/>
    </row>
    <row r="40" spans="1:4" customFormat="1" ht="15" customHeight="1" x14ac:dyDescent="0.2">
      <c r="A40" s="286" t="s">
        <v>95</v>
      </c>
      <c r="B40" s="325"/>
      <c r="C40" s="20"/>
    </row>
    <row r="41" spans="1:4" customFormat="1" ht="15" customHeight="1" x14ac:dyDescent="0.2">
      <c r="A41" s="286" t="s">
        <v>96</v>
      </c>
      <c r="B41" s="325"/>
      <c r="C41" s="20"/>
    </row>
    <row r="42" spans="1:4" customFormat="1" ht="15" customHeight="1" x14ac:dyDescent="0.2">
      <c r="A42" s="286" t="s">
        <v>97</v>
      </c>
      <c r="B42" s="325"/>
      <c r="C42" s="20"/>
    </row>
    <row r="43" spans="1:4" customFormat="1" ht="15" customHeight="1" x14ac:dyDescent="0.2">
      <c r="A43" s="286" t="s">
        <v>98</v>
      </c>
      <c r="B43" s="325"/>
      <c r="C43" s="20"/>
    </row>
    <row r="44" spans="1:4" customFormat="1" ht="15" customHeight="1" x14ac:dyDescent="0.2">
      <c r="A44" s="286" t="s">
        <v>99</v>
      </c>
      <c r="B44" s="325"/>
      <c r="C44" s="20"/>
    </row>
    <row r="45" spans="1:4" customFormat="1" ht="15" customHeight="1" x14ac:dyDescent="0.2">
      <c r="A45" s="174" t="s">
        <v>100</v>
      </c>
      <c r="B45" s="325"/>
      <c r="C45" s="20"/>
    </row>
    <row r="46" spans="1:4" customFormat="1" ht="15" customHeight="1" x14ac:dyDescent="0.2">
      <c r="A46" s="286" t="s">
        <v>101</v>
      </c>
      <c r="B46" s="474"/>
      <c r="C46" s="20"/>
    </row>
    <row r="47" spans="1:4" customFormat="1" ht="15" customHeight="1" x14ac:dyDescent="0.2">
      <c r="A47" s="286" t="s">
        <v>102</v>
      </c>
      <c r="B47" s="475"/>
      <c r="C47" s="20"/>
    </row>
    <row r="48" spans="1:4" customFormat="1" ht="15" customHeight="1" x14ac:dyDescent="0.2">
      <c r="A48" s="286" t="s">
        <v>103</v>
      </c>
      <c r="B48" s="475"/>
      <c r="C48" s="20"/>
    </row>
    <row r="49" spans="1:4" customFormat="1" ht="15" customHeight="1" x14ac:dyDescent="0.2">
      <c r="A49" s="476" t="s">
        <v>104</v>
      </c>
      <c r="B49" s="477"/>
      <c r="C49" s="20"/>
    </row>
    <row r="50" spans="1:4" customFormat="1" ht="45.75" customHeight="1" thickBot="1" x14ac:dyDescent="0.25">
      <c r="A50" s="652" t="s">
        <v>105</v>
      </c>
      <c r="B50" s="653"/>
      <c r="C50" s="20"/>
    </row>
    <row r="51" spans="1:4" ht="30" customHeight="1" x14ac:dyDescent="0.2">
      <c r="A51" s="654" t="s">
        <v>106</v>
      </c>
      <c r="B51" s="655"/>
      <c r="C51" s="20"/>
      <c r="D51" s="5"/>
    </row>
    <row r="52" spans="1:4" ht="15" customHeight="1" thickBot="1" x14ac:dyDescent="0.25">
      <c r="A52" s="478" t="s">
        <v>70</v>
      </c>
      <c r="B52" s="479" t="s">
        <v>71</v>
      </c>
      <c r="C52" s="20"/>
      <c r="D52" s="5"/>
    </row>
    <row r="53" spans="1:4" customFormat="1" ht="15" customHeight="1" x14ac:dyDescent="0.2">
      <c r="A53" s="449" t="s">
        <v>93</v>
      </c>
      <c r="B53" s="326"/>
      <c r="C53" s="20"/>
    </row>
    <row r="54" spans="1:4" customFormat="1" ht="15" customHeight="1" x14ac:dyDescent="0.2">
      <c r="A54" s="447" t="s">
        <v>94</v>
      </c>
      <c r="B54" s="325"/>
      <c r="C54" s="20"/>
    </row>
    <row r="55" spans="1:4" customFormat="1" ht="15" customHeight="1" x14ac:dyDescent="0.2">
      <c r="A55" s="447" t="s">
        <v>95</v>
      </c>
      <c r="B55" s="325"/>
      <c r="C55" s="20"/>
    </row>
    <row r="56" spans="1:4" customFormat="1" ht="15" customHeight="1" x14ac:dyDescent="0.2">
      <c r="A56" s="447" t="s">
        <v>96</v>
      </c>
      <c r="B56" s="325"/>
      <c r="C56" s="20"/>
    </row>
    <row r="57" spans="1:4" customFormat="1" ht="15" customHeight="1" x14ac:dyDescent="0.2">
      <c r="A57" s="447" t="s">
        <v>88</v>
      </c>
      <c r="B57" s="325"/>
      <c r="C57" s="20"/>
    </row>
    <row r="58" spans="1:4" customFormat="1" ht="15" customHeight="1" x14ac:dyDescent="0.2">
      <c r="A58" s="447" t="s">
        <v>97</v>
      </c>
      <c r="B58" s="325"/>
      <c r="C58" s="20"/>
    </row>
    <row r="59" spans="1:4" customFormat="1" ht="15" customHeight="1" x14ac:dyDescent="0.2">
      <c r="A59" s="447" t="s">
        <v>98</v>
      </c>
      <c r="B59" s="325"/>
      <c r="C59" s="20"/>
    </row>
    <row r="60" spans="1:4" customFormat="1" ht="15" customHeight="1" x14ac:dyDescent="0.2">
      <c r="A60" s="447" t="s">
        <v>99</v>
      </c>
      <c r="B60" s="325"/>
      <c r="C60" s="20"/>
    </row>
    <row r="61" spans="1:4" customFormat="1" ht="15" customHeight="1" x14ac:dyDescent="0.2">
      <c r="A61" s="447" t="s">
        <v>100</v>
      </c>
      <c r="B61" s="325"/>
      <c r="C61" s="20"/>
    </row>
    <row r="62" spans="1:4" customFormat="1" ht="15" customHeight="1" x14ac:dyDescent="0.2">
      <c r="A62" s="447" t="s">
        <v>101</v>
      </c>
      <c r="B62" s="474"/>
      <c r="C62" s="20"/>
    </row>
    <row r="63" spans="1:4" customFormat="1" ht="15" customHeight="1" x14ac:dyDescent="0.2">
      <c r="A63" s="447" t="s">
        <v>102</v>
      </c>
      <c r="B63" s="475"/>
      <c r="C63" s="20"/>
    </row>
    <row r="64" spans="1:4" customFormat="1" ht="15" customHeight="1" x14ac:dyDescent="0.2">
      <c r="A64" s="286" t="s">
        <v>103</v>
      </c>
      <c r="B64" s="480"/>
      <c r="C64" s="20"/>
    </row>
    <row r="65" spans="1:7" customFormat="1" ht="15" customHeight="1" thickBot="1" x14ac:dyDescent="0.25">
      <c r="A65" s="450" t="s">
        <v>104</v>
      </c>
      <c r="B65" s="477"/>
      <c r="C65" s="20"/>
    </row>
    <row r="66" spans="1:7" ht="15" customHeight="1" x14ac:dyDescent="0.2">
      <c r="A66" s="173" t="s">
        <v>107</v>
      </c>
      <c r="B66" s="199"/>
      <c r="C66" s="20"/>
      <c r="D66" s="5"/>
    </row>
    <row r="67" spans="1:7" ht="45" customHeight="1" x14ac:dyDescent="0.2">
      <c r="A67" s="656" t="s">
        <v>108</v>
      </c>
      <c r="B67" s="657"/>
      <c r="C67" s="20"/>
      <c r="D67" s="5"/>
    </row>
    <row r="68" spans="1:7" ht="15" customHeight="1" thickBot="1" x14ac:dyDescent="0.25">
      <c r="A68" s="478" t="s">
        <v>70</v>
      </c>
      <c r="B68" s="185" t="s">
        <v>71</v>
      </c>
      <c r="C68" s="20"/>
      <c r="D68" s="5"/>
    </row>
    <row r="69" spans="1:7" ht="45" customHeight="1" x14ac:dyDescent="0.2">
      <c r="A69" s="195" t="s">
        <v>109</v>
      </c>
      <c r="B69" s="326"/>
      <c r="C69" s="20"/>
      <c r="D69" s="5"/>
    </row>
    <row r="70" spans="1:7" ht="90" customHeight="1" thickBot="1" x14ac:dyDescent="0.25">
      <c r="A70" s="287" t="s">
        <v>110</v>
      </c>
      <c r="B70" s="215"/>
      <c r="C70" s="20"/>
      <c r="D70" s="5"/>
    </row>
    <row r="71" spans="1:7" ht="15" customHeight="1" thickBot="1" x14ac:dyDescent="0.25">
      <c r="A71" s="651"/>
      <c r="B71" s="651"/>
      <c r="C71" s="20"/>
      <c r="D71" s="5"/>
    </row>
    <row r="72" spans="1:7" ht="15" customHeight="1" thickBot="1" x14ac:dyDescent="0.25">
      <c r="A72" s="635" t="s">
        <v>111</v>
      </c>
      <c r="B72" s="636"/>
      <c r="C72" s="20"/>
    </row>
    <row r="73" spans="1:7" ht="15" customHeight="1" thickBot="1" x14ac:dyDescent="0.25">
      <c r="A73" s="481" t="s">
        <v>70</v>
      </c>
      <c r="B73" s="482" t="s">
        <v>71</v>
      </c>
      <c r="C73" s="20"/>
    </row>
    <row r="74" spans="1:7" ht="105" customHeight="1" thickBot="1" x14ac:dyDescent="0.25">
      <c r="A74" s="451" t="s">
        <v>112</v>
      </c>
      <c r="B74" s="483"/>
      <c r="C74" s="20"/>
      <c r="E74" s="5" t="s">
        <v>113</v>
      </c>
      <c r="F74" s="5">
        <f>IF(PI_1S_CBP_2.172[[#This Row],[Response]]="Yes",1,0)</f>
        <v>0</v>
      </c>
    </row>
    <row r="75" spans="1:7" ht="15" customHeight="1" thickBot="1" x14ac:dyDescent="0.25">
      <c r="A75" s="658" t="s">
        <v>114</v>
      </c>
      <c r="B75" s="659"/>
      <c r="C75" s="20"/>
    </row>
    <row r="76" spans="1:7" ht="15" customHeight="1" thickBot="1" x14ac:dyDescent="0.25">
      <c r="A76" s="344"/>
      <c r="B76" s="454"/>
      <c r="C76" s="20"/>
    </row>
    <row r="77" spans="1:7" ht="15" customHeight="1" thickBot="1" x14ac:dyDescent="0.25">
      <c r="A77" s="635" t="s">
        <v>115</v>
      </c>
      <c r="B77" s="636"/>
      <c r="C77" s="20"/>
    </row>
    <row r="78" spans="1:7" ht="15" customHeight="1" x14ac:dyDescent="0.2">
      <c r="A78" s="654" t="s">
        <v>116</v>
      </c>
      <c r="B78" s="655"/>
      <c r="C78" s="20"/>
      <c r="D78" s="5"/>
    </row>
    <row r="79" spans="1:7" ht="30" customHeight="1" x14ac:dyDescent="0.2">
      <c r="A79" s="286" t="s">
        <v>117</v>
      </c>
      <c r="B79" s="325"/>
      <c r="C79" s="20"/>
      <c r="D79" s="5"/>
    </row>
    <row r="80" spans="1:7" ht="30" customHeight="1" x14ac:dyDescent="0.2">
      <c r="A80" s="649" t="s">
        <v>118</v>
      </c>
      <c r="B80" s="650"/>
      <c r="C80" s="20"/>
      <c r="D80" s="5"/>
      <c r="E80" s="416" t="s">
        <v>119</v>
      </c>
      <c r="G80" s="5">
        <f>IF($B$79="No",1,0)</f>
        <v>0</v>
      </c>
    </row>
    <row r="81" spans="1:7" ht="15" customHeight="1" thickBot="1" x14ac:dyDescent="0.25">
      <c r="A81" s="478" t="s">
        <v>120</v>
      </c>
      <c r="B81" s="484" t="s">
        <v>121</v>
      </c>
      <c r="C81" s="20"/>
      <c r="D81" s="5"/>
      <c r="G81" s="5">
        <f>IF($B$79="No",1,0)</f>
        <v>0</v>
      </c>
    </row>
    <row r="82" spans="1:7" ht="14.1" customHeight="1" x14ac:dyDescent="0.2">
      <c r="A82" s="485"/>
      <c r="B82" s="326"/>
      <c r="C82" s="20"/>
      <c r="D82" s="5"/>
      <c r="G82" s="5">
        <f>IF($B$79="No",1,0)</f>
        <v>0</v>
      </c>
    </row>
    <row r="83" spans="1:7" ht="14.1" customHeight="1" x14ac:dyDescent="0.2">
      <c r="A83" s="486"/>
      <c r="B83" s="325"/>
      <c r="C83" s="20"/>
      <c r="D83" s="5"/>
      <c r="G83" s="5">
        <f>IF($B$79="No",1,0)</f>
        <v>0</v>
      </c>
    </row>
    <row r="84" spans="1:7" ht="15" customHeight="1" thickBot="1" x14ac:dyDescent="0.25">
      <c r="A84" s="487"/>
      <c r="B84" s="325"/>
      <c r="C84" s="20"/>
      <c r="D84" s="5"/>
      <c r="G84" s="5">
        <f>IF($B$79="No",1,0)</f>
        <v>0</v>
      </c>
    </row>
    <row r="85" spans="1:7" ht="15" customHeight="1" thickBot="1" x14ac:dyDescent="0.25">
      <c r="A85" s="660" t="s">
        <v>122</v>
      </c>
      <c r="B85" s="661"/>
      <c r="C85" s="20"/>
      <c r="D85" s="5"/>
    </row>
    <row r="86" spans="1:7" ht="15" customHeight="1" x14ac:dyDescent="0.2">
      <c r="A86" s="195" t="s">
        <v>123</v>
      </c>
      <c r="B86" s="326"/>
      <c r="C86" s="20"/>
      <c r="D86" s="5"/>
    </row>
    <row r="87" spans="1:7" ht="30" customHeight="1" thickBot="1" x14ac:dyDescent="0.25">
      <c r="A87" s="287" t="s">
        <v>124</v>
      </c>
      <c r="B87" s="215"/>
      <c r="C87" s="20"/>
      <c r="D87" s="5"/>
      <c r="E87" s="416" t="s">
        <v>125</v>
      </c>
      <c r="G87" s="5">
        <f>IF(B86="No",1,0)</f>
        <v>0</v>
      </c>
    </row>
    <row r="88" spans="1:7" ht="15" customHeight="1" x14ac:dyDescent="0.2">
      <c r="A88" s="196" t="s">
        <v>126</v>
      </c>
      <c r="B88" s="197"/>
      <c r="C88" s="20"/>
    </row>
    <row r="89" spans="1:7" ht="15" customHeight="1" thickBot="1" x14ac:dyDescent="0.25">
      <c r="A89" s="472" t="s">
        <v>70</v>
      </c>
      <c r="B89" s="473" t="s">
        <v>71</v>
      </c>
      <c r="C89" s="20"/>
    </row>
    <row r="90" spans="1:7" ht="30" customHeight="1" x14ac:dyDescent="0.2">
      <c r="A90" s="195" t="s">
        <v>127</v>
      </c>
      <c r="B90" s="326"/>
      <c r="C90" s="20"/>
    </row>
    <row r="91" spans="1:7" ht="15" customHeight="1" x14ac:dyDescent="0.2">
      <c r="A91" s="286" t="s">
        <v>128</v>
      </c>
      <c r="B91" s="325"/>
      <c r="C91" s="20"/>
      <c r="E91" s="5" t="s">
        <v>129</v>
      </c>
      <c r="G91" s="5">
        <f>IF($B$90="no",1,0)</f>
        <v>0</v>
      </c>
    </row>
    <row r="92" spans="1:7" ht="60" customHeight="1" thickBot="1" x14ac:dyDescent="0.25">
      <c r="A92" s="287" t="s">
        <v>130</v>
      </c>
      <c r="B92" s="488"/>
      <c r="C92" s="20"/>
      <c r="G92" s="5">
        <f>IF($B$90="no",1,0)</f>
        <v>0</v>
      </c>
    </row>
    <row r="93" spans="1:7" ht="15" customHeight="1" thickBot="1" x14ac:dyDescent="0.25">
      <c r="A93" s="651"/>
      <c r="B93" s="651"/>
      <c r="C93" s="20"/>
    </row>
    <row r="94" spans="1:7" ht="15" customHeight="1" thickBot="1" x14ac:dyDescent="0.25">
      <c r="A94" s="635" t="s">
        <v>131</v>
      </c>
      <c r="B94" s="636"/>
      <c r="C94" s="20"/>
      <c r="D94" s="5"/>
    </row>
    <row r="95" spans="1:7" ht="15" customHeight="1" x14ac:dyDescent="0.2">
      <c r="A95" s="654" t="s">
        <v>132</v>
      </c>
      <c r="B95" s="655"/>
      <c r="C95" s="20"/>
      <c r="D95" s="5"/>
    </row>
    <row r="96" spans="1:7" ht="15" customHeight="1" thickBot="1" x14ac:dyDescent="0.25">
      <c r="A96" s="478" t="s">
        <v>70</v>
      </c>
      <c r="B96" s="185" t="s">
        <v>71</v>
      </c>
      <c r="C96" s="20"/>
      <c r="D96" s="5"/>
    </row>
    <row r="97" spans="1:7" ht="30" customHeight="1" x14ac:dyDescent="0.2">
      <c r="A97" s="195" t="s">
        <v>133</v>
      </c>
      <c r="B97" s="326"/>
      <c r="C97" s="20"/>
      <c r="D97" s="5"/>
    </row>
    <row r="98" spans="1:7" ht="15.95" customHeight="1" x14ac:dyDescent="0.2">
      <c r="A98" s="286" t="s">
        <v>135</v>
      </c>
      <c r="B98" s="489" t="str">
        <f>IF(B97="","Select a county above.",VLOOKUP(B97,Reference!A16:B269,2,FALSE))</f>
        <v>Select a county above.</v>
      </c>
      <c r="C98" s="20"/>
      <c r="D98" s="5"/>
    </row>
    <row r="99" spans="1:7" ht="15" customHeight="1" x14ac:dyDescent="0.2">
      <c r="A99" s="286" t="s">
        <v>136</v>
      </c>
      <c r="B99" s="325"/>
      <c r="C99" s="20"/>
      <c r="D99" s="5"/>
    </row>
    <row r="100" spans="1:7" ht="30" customHeight="1" x14ac:dyDescent="0.2">
      <c r="A100" s="286" t="s">
        <v>137</v>
      </c>
      <c r="B100" s="325"/>
      <c r="C100" s="20"/>
      <c r="D100" s="5"/>
    </row>
    <row r="101" spans="1:7" ht="30" customHeight="1" x14ac:dyDescent="0.2">
      <c r="A101" s="286" t="s">
        <v>138</v>
      </c>
      <c r="B101" s="325"/>
      <c r="C101" s="20"/>
      <c r="D101" s="5"/>
    </row>
    <row r="102" spans="1:7" ht="75" customHeight="1" x14ac:dyDescent="0.2">
      <c r="A102" s="476" t="s">
        <v>139</v>
      </c>
      <c r="B102" s="490"/>
      <c r="C102" s="20"/>
      <c r="D102" s="5"/>
    </row>
    <row r="103" spans="1:7" ht="14.25" customHeight="1" x14ac:dyDescent="0.2">
      <c r="A103" s="664" t="s">
        <v>140</v>
      </c>
      <c r="B103" s="665"/>
      <c r="C103" s="20"/>
    </row>
    <row r="104" spans="1:7" ht="14.1" customHeight="1" thickBot="1" x14ac:dyDescent="0.25">
      <c r="A104" s="478" t="s">
        <v>70</v>
      </c>
      <c r="B104" s="185" t="s">
        <v>71</v>
      </c>
      <c r="C104" s="20"/>
    </row>
    <row r="105" spans="1:7" ht="15" customHeight="1" x14ac:dyDescent="0.2">
      <c r="A105" s="449" t="s">
        <v>141</v>
      </c>
      <c r="B105" s="236"/>
      <c r="C105" s="20"/>
      <c r="D105" s="5"/>
    </row>
    <row r="106" spans="1:7" ht="90" customHeight="1" x14ac:dyDescent="0.2">
      <c r="A106" s="447" t="s">
        <v>142</v>
      </c>
      <c r="B106" s="325"/>
      <c r="C106" s="20"/>
      <c r="D106" s="5"/>
    </row>
    <row r="107" spans="1:7" ht="30" customHeight="1" x14ac:dyDescent="0.2">
      <c r="A107" s="447" t="s">
        <v>143</v>
      </c>
      <c r="B107" s="325"/>
      <c r="C107" s="20"/>
      <c r="D107" s="5"/>
      <c r="G107" s="574">
        <f>IF(OR(B110="Temporary",B110="Specialty"),0,IF(AND($B$10&lt;&gt;"", $B$10&lt;&gt;"Initial", $B$10&lt;&gt;"Initial (move to new location)",$B$10&lt;&gt;"Change of Representations"),1,0))</f>
        <v>0</v>
      </c>
    </row>
    <row r="108" spans="1:7" ht="30" customHeight="1" thickBot="1" x14ac:dyDescent="0.25">
      <c r="A108" s="491" t="s">
        <v>144</v>
      </c>
      <c r="B108" s="492"/>
      <c r="C108" s="20"/>
      <c r="D108" s="5"/>
      <c r="E108" s="5" t="s">
        <v>1280</v>
      </c>
      <c r="G108" s="574" t="s">
        <v>1279</v>
      </c>
    </row>
    <row r="109" spans="1:7" ht="15" customHeight="1" x14ac:dyDescent="0.2">
      <c r="A109" s="666" t="s">
        <v>145</v>
      </c>
      <c r="B109" s="667"/>
      <c r="C109" s="20"/>
      <c r="D109" s="5"/>
      <c r="E109" s="5" t="s">
        <v>146</v>
      </c>
    </row>
    <row r="110" spans="1:7" ht="14.25" x14ac:dyDescent="0.2">
      <c r="A110" s="195" t="s">
        <v>147</v>
      </c>
      <c r="B110" s="326"/>
      <c r="C110" s="20"/>
      <c r="D110" s="5"/>
    </row>
    <row r="111" spans="1:7" ht="15" customHeight="1" x14ac:dyDescent="0.2">
      <c r="A111" s="649" t="s">
        <v>148</v>
      </c>
      <c r="B111" s="650"/>
      <c r="C111" s="20"/>
      <c r="D111" s="5"/>
      <c r="E111" s="5" t="s">
        <v>149</v>
      </c>
      <c r="G111" s="5">
        <f>IF($B$110="Permanent",1,0)</f>
        <v>0</v>
      </c>
    </row>
    <row r="112" spans="1:7" ht="15" customHeight="1" thickBot="1" x14ac:dyDescent="0.25">
      <c r="A112" s="478" t="s">
        <v>70</v>
      </c>
      <c r="B112" s="185" t="s">
        <v>71</v>
      </c>
      <c r="C112" s="20"/>
      <c r="D112" s="5"/>
    </row>
    <row r="113" spans="1:8" ht="14.1" customHeight="1" x14ac:dyDescent="0.2">
      <c r="A113" s="195" t="s">
        <v>150</v>
      </c>
      <c r="B113" s="326"/>
      <c r="C113" s="20"/>
      <c r="D113" s="5"/>
      <c r="E113" s="5" t="s">
        <v>151</v>
      </c>
      <c r="G113" s="5">
        <f>IF($B$110="Permanent",1,0)</f>
        <v>0</v>
      </c>
      <c r="H113" s="5">
        <f>IF(AND(B110="Temporary", $B$113&gt;180),1,0)</f>
        <v>0</v>
      </c>
    </row>
    <row r="114" spans="1:8" ht="30" customHeight="1" x14ac:dyDescent="0.2">
      <c r="A114" s="286" t="s">
        <v>152</v>
      </c>
      <c r="B114" s="493"/>
      <c r="C114" s="20"/>
      <c r="D114" s="5"/>
      <c r="E114" s="5" t="s">
        <v>149</v>
      </c>
      <c r="G114" s="5">
        <f>IF($B$110="Permanent",1,0)</f>
        <v>0</v>
      </c>
    </row>
    <row r="115" spans="1:8" ht="27.95" customHeight="1" x14ac:dyDescent="0.2">
      <c r="A115" s="286" t="s">
        <v>153</v>
      </c>
      <c r="B115" s="80"/>
      <c r="C115" s="20"/>
      <c r="D115" s="5"/>
    </row>
    <row r="116" spans="1:8" ht="32.1" customHeight="1" thickBot="1" x14ac:dyDescent="0.25">
      <c r="A116" s="476" t="s">
        <v>153</v>
      </c>
      <c r="B116" s="494"/>
      <c r="C116" s="20"/>
      <c r="D116" s="5"/>
    </row>
    <row r="117" spans="1:8" ht="15" customHeight="1" x14ac:dyDescent="0.2">
      <c r="A117" s="285" t="s">
        <v>154</v>
      </c>
      <c r="B117" s="170"/>
      <c r="C117" s="20"/>
      <c r="D117" s="5"/>
    </row>
    <row r="118" spans="1:8" ht="15" customHeight="1" thickBot="1" x14ac:dyDescent="0.25">
      <c r="A118" s="478" t="s">
        <v>70</v>
      </c>
      <c r="B118" s="495" t="s">
        <v>71</v>
      </c>
      <c r="C118" s="20"/>
      <c r="D118" s="5"/>
    </row>
    <row r="119" spans="1:8" ht="15" customHeight="1" x14ac:dyDescent="0.2">
      <c r="A119" s="195" t="s">
        <v>155</v>
      </c>
      <c r="B119" s="236"/>
      <c r="C119" s="20"/>
      <c r="D119" s="5"/>
    </row>
    <row r="120" spans="1:8" ht="15" customHeight="1" thickBot="1" x14ac:dyDescent="0.25">
      <c r="A120" s="450" t="s">
        <v>156</v>
      </c>
      <c r="B120" s="490"/>
      <c r="C120" s="20"/>
      <c r="D120" s="5"/>
    </row>
    <row r="121" spans="1:8" ht="15" customHeight="1" x14ac:dyDescent="0.2">
      <c r="A121" s="284" t="s">
        <v>157</v>
      </c>
      <c r="B121" s="170"/>
      <c r="C121" s="20"/>
    </row>
    <row r="122" spans="1:8" ht="15" customHeight="1" x14ac:dyDescent="0.2">
      <c r="A122" s="668" t="s">
        <v>158</v>
      </c>
      <c r="B122" s="669"/>
      <c r="C122" s="20"/>
    </row>
    <row r="123" spans="1:8" ht="15" customHeight="1" x14ac:dyDescent="0.2">
      <c r="A123" s="670" t="s">
        <v>159</v>
      </c>
      <c r="B123" s="671"/>
      <c r="C123" s="20"/>
    </row>
    <row r="124" spans="1:8" ht="15" customHeight="1" thickBot="1" x14ac:dyDescent="0.25">
      <c r="A124" s="496" t="s">
        <v>70</v>
      </c>
      <c r="B124" s="497" t="s">
        <v>71</v>
      </c>
      <c r="C124" s="20"/>
    </row>
    <row r="125" spans="1:8" ht="15" customHeight="1" x14ac:dyDescent="0.2">
      <c r="A125" s="195" t="s">
        <v>160</v>
      </c>
      <c r="B125" s="236"/>
      <c r="C125" s="20"/>
    </row>
    <row r="126" spans="1:8" ht="15" customHeight="1" x14ac:dyDescent="0.2">
      <c r="A126" s="447" t="s">
        <v>161</v>
      </c>
      <c r="B126" s="325"/>
      <c r="C126" s="20"/>
    </row>
    <row r="127" spans="1:8" ht="15" customHeight="1" x14ac:dyDescent="0.2">
      <c r="A127" s="447" t="s">
        <v>162</v>
      </c>
      <c r="B127" s="80"/>
      <c r="C127" s="20"/>
    </row>
    <row r="128" spans="1:8" ht="15" customHeight="1" thickBot="1" x14ac:dyDescent="0.25">
      <c r="A128" s="450" t="s">
        <v>161</v>
      </c>
      <c r="B128" s="490"/>
      <c r="C128" s="20"/>
    </row>
    <row r="129" spans="1:7" customFormat="1" ht="43.5" customHeight="1" x14ac:dyDescent="0.2">
      <c r="A129" s="672" t="s">
        <v>163</v>
      </c>
      <c r="B129" s="673"/>
      <c r="C129" s="455"/>
    </row>
    <row r="130" spans="1:7" customFormat="1" ht="14.25" customHeight="1" x14ac:dyDescent="0.2">
      <c r="A130" s="674" t="s">
        <v>164</v>
      </c>
      <c r="B130" s="675"/>
      <c r="C130" s="455"/>
    </row>
    <row r="131" spans="1:7" customFormat="1" ht="14.25" customHeight="1" x14ac:dyDescent="0.2">
      <c r="A131" s="656" t="s">
        <v>165</v>
      </c>
      <c r="B131" s="657"/>
      <c r="C131" s="455"/>
    </row>
    <row r="132" spans="1:7" customFormat="1" ht="15" customHeight="1" thickBot="1" x14ac:dyDescent="0.25">
      <c r="A132" s="498" t="s">
        <v>70</v>
      </c>
      <c r="B132" s="235" t="s">
        <v>71</v>
      </c>
      <c r="C132" s="456"/>
    </row>
    <row r="133" spans="1:7" customFormat="1" ht="15" customHeight="1" x14ac:dyDescent="0.2">
      <c r="A133" s="286" t="s">
        <v>166</v>
      </c>
      <c r="B133" s="325"/>
      <c r="C133" s="456"/>
    </row>
    <row r="134" spans="1:7" customFormat="1" ht="15" customHeight="1" x14ac:dyDescent="0.2">
      <c r="A134" s="216" t="s">
        <v>97</v>
      </c>
      <c r="B134" s="325"/>
      <c r="C134" s="456"/>
    </row>
    <row r="135" spans="1:7" customFormat="1" ht="15" customHeight="1" x14ac:dyDescent="0.2">
      <c r="A135" s="216" t="s">
        <v>98</v>
      </c>
      <c r="B135" s="325"/>
      <c r="C135" s="456"/>
    </row>
    <row r="136" spans="1:7" customFormat="1" ht="15" customHeight="1" x14ac:dyDescent="0.2">
      <c r="A136" s="216" t="s">
        <v>99</v>
      </c>
      <c r="B136" s="325"/>
      <c r="C136" s="456"/>
    </row>
    <row r="137" spans="1:7" customFormat="1" ht="15" customHeight="1" x14ac:dyDescent="0.2">
      <c r="A137" s="216" t="s">
        <v>100</v>
      </c>
      <c r="B137" s="325"/>
      <c r="C137" s="456"/>
    </row>
    <row r="138" spans="1:7" customFormat="1" ht="15" customHeight="1" x14ac:dyDescent="0.2">
      <c r="A138" s="216" t="s">
        <v>101</v>
      </c>
      <c r="B138" s="325"/>
      <c r="C138" s="456"/>
    </row>
    <row r="139" spans="1:7" customFormat="1" ht="32.1" customHeight="1" x14ac:dyDescent="0.2">
      <c r="A139" s="476" t="s">
        <v>167</v>
      </c>
      <c r="B139" s="494"/>
      <c r="C139" s="206"/>
      <c r="D139" s="352"/>
    </row>
    <row r="140" spans="1:7" customFormat="1" ht="30" customHeight="1" x14ac:dyDescent="0.2">
      <c r="A140" s="676" t="s">
        <v>168</v>
      </c>
      <c r="B140" s="677"/>
      <c r="C140" s="456"/>
      <c r="E140" t="s">
        <v>169</v>
      </c>
      <c r="G140" s="417">
        <f>IF($B$139="No",1,0)</f>
        <v>0</v>
      </c>
    </row>
    <row r="141" spans="1:7" customFormat="1" ht="15" customHeight="1" x14ac:dyDescent="0.2">
      <c r="A141" s="216" t="s">
        <v>94</v>
      </c>
      <c r="B141" s="325"/>
      <c r="C141" s="456"/>
      <c r="E141" t="s">
        <v>169</v>
      </c>
      <c r="G141" s="417">
        <f>$G$140</f>
        <v>0</v>
      </c>
    </row>
    <row r="142" spans="1:7" customFormat="1" ht="15" customHeight="1" x14ac:dyDescent="0.2">
      <c r="A142" s="216" t="s">
        <v>95</v>
      </c>
      <c r="B142" s="325"/>
      <c r="C142" s="456"/>
      <c r="E142" t="s">
        <v>169</v>
      </c>
      <c r="G142" s="417">
        <f t="shared" ref="G142:G148" si="1">$G$140</f>
        <v>0</v>
      </c>
    </row>
    <row r="143" spans="1:7" customFormat="1" ht="15" customHeight="1" x14ac:dyDescent="0.2">
      <c r="A143" s="216" t="s">
        <v>96</v>
      </c>
      <c r="B143" s="325"/>
      <c r="C143" s="456"/>
      <c r="E143" t="s">
        <v>169</v>
      </c>
      <c r="G143" s="417">
        <f t="shared" si="1"/>
        <v>0</v>
      </c>
    </row>
    <row r="144" spans="1:7" customFormat="1" ht="15" customHeight="1" x14ac:dyDescent="0.2">
      <c r="A144" s="216" t="s">
        <v>97</v>
      </c>
      <c r="B144" s="325"/>
      <c r="C144" s="456"/>
      <c r="E144" t="s">
        <v>169</v>
      </c>
      <c r="G144" s="417">
        <f t="shared" si="1"/>
        <v>0</v>
      </c>
    </row>
    <row r="145" spans="1:7" customFormat="1" ht="15" customHeight="1" x14ac:dyDescent="0.2">
      <c r="A145" s="216" t="s">
        <v>98</v>
      </c>
      <c r="B145" s="325"/>
      <c r="C145" s="456"/>
      <c r="E145" t="s">
        <v>169</v>
      </c>
      <c r="G145" s="417">
        <f t="shared" si="1"/>
        <v>0</v>
      </c>
    </row>
    <row r="146" spans="1:7" customFormat="1" ht="15" customHeight="1" x14ac:dyDescent="0.2">
      <c r="A146" s="216" t="s">
        <v>99</v>
      </c>
      <c r="B146" s="325"/>
      <c r="C146" s="456"/>
      <c r="E146" t="s">
        <v>169</v>
      </c>
      <c r="G146" s="417">
        <f t="shared" si="1"/>
        <v>0</v>
      </c>
    </row>
    <row r="147" spans="1:7" customFormat="1" ht="15" customHeight="1" x14ac:dyDescent="0.2">
      <c r="A147" s="216" t="s">
        <v>100</v>
      </c>
      <c r="B147" s="325"/>
      <c r="C147" s="456"/>
      <c r="E147" t="s">
        <v>169</v>
      </c>
      <c r="G147" s="417">
        <f t="shared" si="1"/>
        <v>0</v>
      </c>
    </row>
    <row r="148" spans="1:7" customFormat="1" ht="15" customHeight="1" thickBot="1" x14ac:dyDescent="0.25">
      <c r="A148" s="217" t="s">
        <v>101</v>
      </c>
      <c r="B148" s="215"/>
      <c r="C148" s="456"/>
      <c r="E148" t="s">
        <v>169</v>
      </c>
      <c r="G148" s="417">
        <f t="shared" si="1"/>
        <v>0</v>
      </c>
    </row>
    <row r="149" spans="1:7" customFormat="1" ht="15" customHeight="1" thickBot="1" x14ac:dyDescent="0.25">
      <c r="A149" s="662"/>
      <c r="B149" s="663"/>
      <c r="C149" s="456"/>
      <c r="G149" s="417"/>
    </row>
    <row r="150" spans="1:7" ht="15" customHeight="1" thickBot="1" x14ac:dyDescent="0.25">
      <c r="A150" s="635" t="s">
        <v>170</v>
      </c>
      <c r="B150" s="636"/>
      <c r="C150" s="20"/>
    </row>
    <row r="151" spans="1:7" ht="15" customHeight="1" x14ac:dyDescent="0.2">
      <c r="A151" s="654" t="s">
        <v>171</v>
      </c>
      <c r="B151" s="655"/>
      <c r="C151" s="20"/>
    </row>
    <row r="152" spans="1:7" ht="15" customHeight="1" thickBot="1" x14ac:dyDescent="0.25">
      <c r="A152" s="478" t="s">
        <v>70</v>
      </c>
      <c r="B152" s="185" t="s">
        <v>71</v>
      </c>
      <c r="C152" s="20"/>
    </row>
    <row r="153" spans="1:7" ht="75.95" customHeight="1" thickBot="1" x14ac:dyDescent="0.25">
      <c r="A153" s="499" t="s">
        <v>172</v>
      </c>
      <c r="B153" s="500"/>
      <c r="C153" s="20"/>
    </row>
    <row r="154" spans="1:7" ht="15" customHeight="1" x14ac:dyDescent="0.2">
      <c r="A154" s="654" t="s">
        <v>173</v>
      </c>
      <c r="B154" s="655"/>
      <c r="C154" s="20"/>
    </row>
    <row r="155" spans="1:7" ht="15" customHeight="1" thickBot="1" x14ac:dyDescent="0.25">
      <c r="A155" s="478" t="s">
        <v>70</v>
      </c>
      <c r="B155" s="185" t="s">
        <v>71</v>
      </c>
      <c r="C155" s="20"/>
    </row>
    <row r="156" spans="1:7" ht="30" customHeight="1" x14ac:dyDescent="0.2">
      <c r="A156" s="195" t="s">
        <v>174</v>
      </c>
      <c r="B156" s="326"/>
      <c r="C156" s="20"/>
    </row>
    <row r="157" spans="1:7" ht="45" customHeight="1" thickBot="1" x14ac:dyDescent="0.25">
      <c r="A157" s="448" t="s">
        <v>175</v>
      </c>
      <c r="B157" s="215"/>
      <c r="C157" s="20"/>
      <c r="G157" s="5">
        <f>IF($B$156="No",1,0)</f>
        <v>0</v>
      </c>
    </row>
    <row r="158" spans="1:7" ht="15" customHeight="1" thickBot="1" x14ac:dyDescent="0.25">
      <c r="A158" s="651"/>
      <c r="B158" s="651"/>
      <c r="C158" s="20"/>
    </row>
    <row r="159" spans="1:7" ht="15" customHeight="1" thickBot="1" x14ac:dyDescent="0.25">
      <c r="A159" s="635" t="s">
        <v>176</v>
      </c>
      <c r="B159" s="636"/>
      <c r="C159" s="20"/>
      <c r="D159" s="5"/>
    </row>
    <row r="160" spans="1:7" ht="29.25" customHeight="1" thickBot="1" x14ac:dyDescent="0.25">
      <c r="A160" s="683" t="s">
        <v>177</v>
      </c>
      <c r="B160" s="684"/>
      <c r="C160" s="20"/>
      <c r="D160" s="5"/>
    </row>
    <row r="161" spans="1:7" ht="15" customHeight="1" x14ac:dyDescent="0.2">
      <c r="A161" s="654" t="s">
        <v>178</v>
      </c>
      <c r="B161" s="655"/>
      <c r="C161" s="20"/>
    </row>
    <row r="162" spans="1:7" ht="15" customHeight="1" thickBot="1" x14ac:dyDescent="0.25">
      <c r="A162" s="478" t="s">
        <v>70</v>
      </c>
      <c r="B162" s="185" t="s">
        <v>71</v>
      </c>
      <c r="C162" s="20"/>
    </row>
    <row r="163" spans="1:7" ht="15" customHeight="1" x14ac:dyDescent="0.2">
      <c r="A163" s="195" t="s">
        <v>179</v>
      </c>
      <c r="B163" s="326"/>
      <c r="C163" s="20"/>
    </row>
    <row r="164" spans="1:7" ht="30.75" customHeight="1" x14ac:dyDescent="0.2">
      <c r="A164" s="476" t="s">
        <v>180</v>
      </c>
      <c r="B164" s="490"/>
      <c r="C164" s="20"/>
      <c r="G164" s="5">
        <f>IF($B$163="No",1,0)</f>
        <v>0</v>
      </c>
    </row>
    <row r="165" spans="1:7" s="32" customFormat="1" ht="60" customHeight="1" x14ac:dyDescent="0.2">
      <c r="A165" s="678" t="s">
        <v>181</v>
      </c>
      <c r="B165" s="669"/>
      <c r="C165" s="20"/>
      <c r="D165"/>
      <c r="G165" s="5">
        <f>IF($B$163="No",1,0)</f>
        <v>0</v>
      </c>
    </row>
    <row r="166" spans="1:7" ht="15" customHeight="1" thickBot="1" x14ac:dyDescent="0.25">
      <c r="A166" s="679" t="s">
        <v>182</v>
      </c>
      <c r="B166" s="680"/>
      <c r="C166" s="20"/>
    </row>
    <row r="167" spans="1:7" ht="15" customHeight="1" x14ac:dyDescent="0.2">
      <c r="A167" s="168" t="s">
        <v>183</v>
      </c>
      <c r="B167" s="327"/>
      <c r="C167" s="20"/>
      <c r="E167" s="5" t="s">
        <v>184</v>
      </c>
      <c r="G167" s="5">
        <f>IF(OR(AND($B$10&lt;&gt;"initial",$B$11=""),(AND($B$11&lt;&gt;"Initial",$B$10=""))),1,0)</f>
        <v>1</v>
      </c>
    </row>
    <row r="168" spans="1:7" ht="15" customHeight="1" thickBot="1" x14ac:dyDescent="0.25">
      <c r="A168" s="681" t="s">
        <v>185</v>
      </c>
      <c r="B168" s="682"/>
      <c r="C168" s="20"/>
      <c r="G168" s="5">
        <f>IF(OR(AND($B$10&lt;&gt;"initial",$B$11=""),(AND($B$11&lt;&gt;"Initial",$B$10=""))),1,0)</f>
        <v>1</v>
      </c>
    </row>
    <row r="169" spans="1:7" ht="15" customHeight="1" thickBot="1" x14ac:dyDescent="0.25">
      <c r="A169" s="501" t="s">
        <v>70</v>
      </c>
      <c r="B169" s="502" t="s">
        <v>71</v>
      </c>
      <c r="C169" s="20"/>
    </row>
    <row r="170" spans="1:7" ht="15" customHeight="1" x14ac:dyDescent="0.2">
      <c r="A170" s="503" t="s">
        <v>186</v>
      </c>
      <c r="B170" s="504"/>
      <c r="C170" s="20"/>
    </row>
    <row r="171" spans="1:7" ht="75" customHeight="1" x14ac:dyDescent="0.2">
      <c r="A171" s="450" t="s">
        <v>187</v>
      </c>
      <c r="B171" s="494"/>
      <c r="C171" s="20"/>
    </row>
    <row r="172" spans="1:7" ht="15" customHeight="1" thickBot="1" x14ac:dyDescent="0.25">
      <c r="A172" s="448" t="s">
        <v>188</v>
      </c>
      <c r="B172" s="324"/>
      <c r="C172" s="20"/>
    </row>
    <row r="173" spans="1:7" ht="15" customHeight="1" x14ac:dyDescent="0.2">
      <c r="A173" s="284" t="s">
        <v>189</v>
      </c>
      <c r="B173" s="205"/>
      <c r="C173" s="20"/>
    </row>
    <row r="174" spans="1:7" ht="45" customHeight="1" x14ac:dyDescent="0.2">
      <c r="A174" s="450" t="s">
        <v>190</v>
      </c>
      <c r="B174" s="80"/>
      <c r="C174" s="20"/>
    </row>
    <row r="175" spans="1:7" ht="45" customHeight="1" x14ac:dyDescent="0.2">
      <c r="A175" s="450" t="s">
        <v>191</v>
      </c>
      <c r="B175" s="504"/>
      <c r="C175" s="20"/>
    </row>
    <row r="176" spans="1:7" ht="45" customHeight="1" x14ac:dyDescent="0.2">
      <c r="A176" s="447" t="s">
        <v>192</v>
      </c>
      <c r="B176" s="80"/>
      <c r="C176" s="20"/>
    </row>
    <row r="177" spans="1:7" ht="45" customHeight="1" thickBot="1" x14ac:dyDescent="0.25">
      <c r="A177" s="453" t="s">
        <v>193</v>
      </c>
      <c r="B177" s="504"/>
      <c r="C177" s="20"/>
      <c r="D177" s="5"/>
    </row>
    <row r="178" spans="1:7" ht="15" customHeight="1" x14ac:dyDescent="0.2">
      <c r="A178" s="284" t="s">
        <v>194</v>
      </c>
      <c r="B178" s="205"/>
      <c r="C178" s="20"/>
    </row>
    <row r="179" spans="1:7" ht="105" customHeight="1" thickBot="1" x14ac:dyDescent="0.25">
      <c r="A179" s="448" t="s">
        <v>195</v>
      </c>
      <c r="B179" s="324"/>
      <c r="C179" s="20"/>
    </row>
    <row r="180" spans="1:7" ht="15" customHeight="1" x14ac:dyDescent="0.2">
      <c r="A180" s="284" t="s">
        <v>196</v>
      </c>
      <c r="B180" s="205"/>
      <c r="C180" s="20"/>
    </row>
    <row r="181" spans="1:7" ht="60" customHeight="1" x14ac:dyDescent="0.2">
      <c r="A181" s="450" t="s">
        <v>197</v>
      </c>
      <c r="B181" s="494"/>
      <c r="C181" s="20"/>
    </row>
    <row r="182" spans="1:7" ht="30" customHeight="1" thickBot="1" x14ac:dyDescent="0.25">
      <c r="A182" s="450" t="s">
        <v>198</v>
      </c>
      <c r="B182" s="494"/>
      <c r="C182" s="20"/>
    </row>
    <row r="183" spans="1:7" ht="15" customHeight="1" x14ac:dyDescent="0.2">
      <c r="A183" s="505" t="s">
        <v>199</v>
      </c>
      <c r="B183" s="205"/>
      <c r="C183" s="20"/>
      <c r="D183" s="5"/>
    </row>
    <row r="184" spans="1:7" ht="30" customHeight="1" x14ac:dyDescent="0.2">
      <c r="A184" s="286" t="s">
        <v>200</v>
      </c>
      <c r="B184" s="80"/>
      <c r="C184" s="20"/>
      <c r="D184" s="5"/>
    </row>
    <row r="185" spans="1:7" ht="30" customHeight="1" thickBot="1" x14ac:dyDescent="0.25">
      <c r="A185" s="287" t="s">
        <v>201</v>
      </c>
      <c r="B185" s="494"/>
      <c r="C185" s="20"/>
      <c r="D185" s="5"/>
    </row>
    <row r="186" spans="1:7" ht="30" customHeight="1" x14ac:dyDescent="0.2">
      <c r="A186" s="506" t="s">
        <v>202</v>
      </c>
      <c r="B186" s="507"/>
      <c r="C186" s="20"/>
      <c r="D186" s="5"/>
      <c r="E186" s="5">
        <f>IF(PI_1S_CBP__VI.C_G71[[#This Row],[Response]]="Yes", 1, 0)</f>
        <v>0</v>
      </c>
    </row>
    <row r="187" spans="1:7" ht="14.25" x14ac:dyDescent="0.2">
      <c r="A187" s="444" t="s">
        <v>203</v>
      </c>
      <c r="B187" s="80"/>
      <c r="C187" s="20"/>
      <c r="D187" s="5"/>
      <c r="G187" s="5">
        <f>IF($B$186="No",1,0)</f>
        <v>0</v>
      </c>
    </row>
    <row r="188" spans="1:7" ht="29.25" thickBot="1" x14ac:dyDescent="0.25">
      <c r="A188" s="445" t="s">
        <v>204</v>
      </c>
      <c r="B188" s="356" t="s">
        <v>205</v>
      </c>
      <c r="C188" s="54"/>
      <c r="D188" s="5"/>
      <c r="G188" s="5">
        <f>IF($B$186="No",1,0)</f>
        <v>0</v>
      </c>
    </row>
    <row r="189" spans="1:7" ht="15" thickBot="1" x14ac:dyDescent="0.25">
      <c r="A189" s="308" t="s">
        <v>206</v>
      </c>
      <c r="B189" s="354"/>
      <c r="C189" s="350"/>
      <c r="D189" s="295"/>
    </row>
    <row r="190" spans="1:7" hidden="1" x14ac:dyDescent="0.2">
      <c r="C190" s="348"/>
    </row>
  </sheetData>
  <sheetProtection algorithmName="SHA-512" hashValue="45wYQi8tPt9nZf0hmdJzzmbxjZpihuYJq21RMHeIsWAxkxTK9sEAcMGCJSW8apRy+wodsm51AyxQ5/BQHh5l/g==" saltValue="z5TnPFCFaC0MWmyHGlWceQ==" spinCount="100000" sheet="1" objects="1" scenarios="1" formatColumns="0" formatRows="0" autoFilter="0"/>
  <dataConsolidate/>
  <mergeCells count="46">
    <mergeCell ref="A161:B161"/>
    <mergeCell ref="A165:B165"/>
    <mergeCell ref="A166:B166"/>
    <mergeCell ref="A168:B168"/>
    <mergeCell ref="A150:B150"/>
    <mergeCell ref="A151:B151"/>
    <mergeCell ref="A154:B154"/>
    <mergeCell ref="A158:B158"/>
    <mergeCell ref="A159:B159"/>
    <mergeCell ref="A160:B160"/>
    <mergeCell ref="A149:B149"/>
    <mergeCell ref="A94:B94"/>
    <mergeCell ref="A95:B95"/>
    <mergeCell ref="A103:B103"/>
    <mergeCell ref="A109:B109"/>
    <mergeCell ref="A111:B111"/>
    <mergeCell ref="A122:B122"/>
    <mergeCell ref="A123:B123"/>
    <mergeCell ref="A129:B129"/>
    <mergeCell ref="A130:B130"/>
    <mergeCell ref="A131:B131"/>
    <mergeCell ref="A140:B140"/>
    <mergeCell ref="A93:B93"/>
    <mergeCell ref="A36:B36"/>
    <mergeCell ref="A50:B50"/>
    <mergeCell ref="A51:B51"/>
    <mergeCell ref="A67:B67"/>
    <mergeCell ref="A71:B71"/>
    <mergeCell ref="A72:B72"/>
    <mergeCell ref="A75:B75"/>
    <mergeCell ref="A77:B77"/>
    <mergeCell ref="A78:B78"/>
    <mergeCell ref="A80:B80"/>
    <mergeCell ref="A85:B85"/>
    <mergeCell ref="A34:B34"/>
    <mergeCell ref="A1:B1"/>
    <mergeCell ref="A3:B3"/>
    <mergeCell ref="A4:B4"/>
    <mergeCell ref="A5:B5"/>
    <mergeCell ref="A7:B7"/>
    <mergeCell ref="A8:B8"/>
    <mergeCell ref="A14:B14"/>
    <mergeCell ref="A26:B26"/>
    <mergeCell ref="A30:B30"/>
    <mergeCell ref="A31:B31"/>
    <mergeCell ref="A33:B33"/>
  </mergeCells>
  <conditionalFormatting sqref="A10:B188">
    <cfRule type="expression" dxfId="80" priority="3">
      <formula>$G10=1</formula>
    </cfRule>
  </conditionalFormatting>
  <conditionalFormatting sqref="A157:B157">
    <cfRule type="expression" dxfId="79" priority="1248">
      <formula>$G$157=1</formula>
    </cfRule>
  </conditionalFormatting>
  <conditionalFormatting sqref="A7:C188">
    <cfRule type="expression" dxfId="78" priority="2">
      <formula>$G$6=1</formula>
    </cfRule>
  </conditionalFormatting>
  <conditionalFormatting sqref="B6:B166 B168:B187">
    <cfRule type="expression" dxfId="77" priority="5">
      <formula>$F6</formula>
    </cfRule>
  </conditionalFormatting>
  <conditionalFormatting sqref="B7:B188">
    <cfRule type="expression" dxfId="76" priority="1">
      <formula>$H7=1</formula>
    </cfRule>
  </conditionalFormatting>
  <dataValidations count="90">
    <dataValidation type="list" allowBlank="1" showErrorMessage="1" prompt="Select yes" sqref="B186 F131" xr:uid="{D153F94D-A111-4205-B333-6997522A8D38}">
      <formula1>"Yes, No"</formula1>
    </dataValidation>
    <dataValidation type="list" allowBlank="1" showErrorMessage="1" prompt="select one" sqref="B6" xr:uid="{AAF79864-CEED-454F-8B7B-3E76E3C1D74A}">
      <formula1>"I agree,I disagree"</formula1>
    </dataValidation>
    <dataValidation type="list" allowBlank="1" showErrorMessage="1" promptTitle="Concrete Batch Plant Only:" prompt="Is the facility located in a municipality or an extraterritorial jurisdiction of a municipality? Enter or select &quot;Yes&quot; or &quot;No&quot;." sqref="B139" xr:uid="{7AB26013-D33B-4D9D-A91E-2CA72C9AA3FC}">
      <formula1>"Yes,No"</formula1>
    </dataValidation>
    <dataValidation allowBlank="1" showErrorMessage="1" prompt="I acknowledge that I am submitting an authorized TCEQ application workbook and necessary attachments. Except for inputting the requested data and adjusting row/column size, I have not changed the workbook in any way. Select I agree or I disagree." sqref="C6" xr:uid="{F195C355-327F-4142-8F8A-9A6D98A506DF}"/>
    <dataValidation type="textLength" operator="lessThanOrEqual" allowBlank="1" showErrorMessage="1" promptTitle="Project Description" prompt="Briefly provide a description of the project that is requested." sqref="B153" xr:uid="{E6A55652-41DE-44E1-8E41-E1E0F3020DC2}">
      <formula1>500</formula1>
    </dataValidation>
    <dataValidation allowBlank="1" showErrorMessage="1" promptTitle="Concrete Batch Plant only:" prompt="If the facility is located in a municipality or extraterritorial jurisdiction of a municipality, enter the ZIP code of the Presiding Officer." sqref="B148" xr:uid="{A1AC5157-255F-40EC-868C-069F23E77357}"/>
    <dataValidation allowBlank="1" showErrorMessage="1" promptTitle="Concrete Batch Plant only:" prompt="If the facility is located in a municipality or extraterritorial jurisdiction of a municipality, enter the state of the Presiding Officer." sqref="B147" xr:uid="{87E2620D-C75F-4747-9CF1-F3D4A7B76AE6}"/>
    <dataValidation allowBlank="1" showErrorMessage="1" promptTitle="Concrete Batch Plant only:" prompt="If the facility is located in a municipality or extraterritorial jurisdiction of a municipality, enter the city of the Presiding Officer." sqref="B146" xr:uid="{C5E6DA11-F36C-4090-8BAA-42D23E810435}"/>
    <dataValidation allowBlank="1" showErrorMessage="1" promptTitle="Concrete Batch Plant only:" prompt="If the facility is located in a municipality or extraterritorial jurisdiction of a municipality, enter the mailing address of the Presiding Officer." sqref="B144:B145" xr:uid="{5D7F3064-87D8-44FD-B602-97720068568C}"/>
    <dataValidation allowBlank="1" showErrorMessage="1" promptTitle="Concrete Batch Plant only:" prompt="If the facility is located in a municipality or extraterritorial jurisdiction of a municipality, enter the title of the Presiding Officer." sqref="B143" xr:uid="{92A18721-FF83-45D6-940A-4C0C3238F1EC}"/>
    <dataValidation allowBlank="1" showErrorMessage="1" promptTitle="Concrete Batch Plant only:" prompt="If the facility is located in a municipality or extraterritorial jurisdiction of a municipality, enter the last name of the Presiding Officer." sqref="B142" xr:uid="{7B4C6A23-69DC-4755-90AA-2A0CD4BC86E4}"/>
    <dataValidation allowBlank="1" showErrorMessage="1" promptTitle="Concrete Batch Plant only:" prompt="If the facility is located in a municipality or extraterritorial jurisdiction of a municipality, enter the first name of the Presiding Officer." sqref="B141" xr:uid="{CCE11474-5FA3-4104-8B1B-AF7772A42AC5}"/>
    <dataValidation allowBlank="1" showErrorMessage="1" promptTitle="Concrete Batch Plant only:" prompt="Enter the ZIP code of the County Judge." sqref="B138" xr:uid="{3B40552E-E860-4CD6-945F-B75731FF99D3}"/>
    <dataValidation allowBlank="1" showErrorMessage="1" promptTitle="Concrete Batch Plant only:" prompt="Enter the state of the County Judge." sqref="B137" xr:uid="{2C24567E-F27C-4BD1-9575-83CC96704BAE}"/>
    <dataValidation allowBlank="1" showErrorMessage="1" promptTitle="Concrete Batch Plant only:" prompt="Enter the city of the County Judge." sqref="B136" xr:uid="{D3DE8B25-2A09-494A-AA12-A6689620332A}"/>
    <dataValidation allowBlank="1" showErrorMessage="1" promptTitle="Concrete Batch Plant only:" prompt="Enter the mailing address of the County Judge." sqref="B134:B135" xr:uid="{EC6184CA-C727-4B77-92D7-2EF465ACF843}"/>
    <dataValidation allowBlank="1" showErrorMessage="1" promptTitle="Concrete Batch Plant only:" prompt="Enter the name of the County Judge. The title &quot;The Honorable&quot; has already been added." sqref="B133" xr:uid="{227A4B60-F434-4CBE-908B-5B52825971D4}"/>
    <dataValidation allowBlank="1" showErrorMessage="1" prompt="Enter the State Representative's district number." sqref="B128" xr:uid="{5F4DF771-BD46-4D37-83AB-EE08BCB94EA7}"/>
    <dataValidation allowBlank="1" showErrorMessage="1" prompt="Enter the State Representative's name" sqref="B127" xr:uid="{0EA74E68-5091-4E6F-92C5-72C79A67D38E}"/>
    <dataValidation allowBlank="1" showErrorMessage="1" prompt="Enter the State Senator District." sqref="B126" xr:uid="{1F01D6DA-CC97-41F9-A848-861945150CAA}"/>
    <dataValidation allowBlank="1" showErrorMessage="1" prompt="Enter the name of the State Senator" sqref="B125" xr:uid="{5C9D0607-AD40-4E51-944D-D3E34CE2DEAF}"/>
    <dataValidation type="list" allowBlank="1" showErrorMessage="1" prompt="Select the principal product or business of this company." sqref="B120" xr:uid="{58D55EC9-3B2A-40BA-8976-D4099CF46ADB}">
      <formula1>SIC</formula1>
    </dataValidation>
    <dataValidation type="list" allowBlank="1" showErrorMessage="1" error="SIC code is a four digit code." prompt="select the SIC" sqref="B120" xr:uid="{778719B4-A37B-41C9-A334-EE63758E1840}">
      <formula1>SIC</formula1>
    </dataValidation>
    <dataValidation allowBlank="1" showErrorMessage="1" prompt="Enter the principal product or business of this company." sqref="B119" xr:uid="{47EF3091-1503-4914-BE7F-E3B6029FBA6D}"/>
    <dataValidation allowBlank="1" showErrorMessage="1" prompt="enter length of time at site in days" sqref="B113" xr:uid="{B88FBE3B-D702-43B9-A29D-8FFB151A13AE}"/>
    <dataValidation allowBlank="1" showErrorMessage="1" prompt="provide the serial number of the equipment being authorized." sqref="B115:B116" xr:uid="{3074C301-C352-489C-AA48-0BF262429CD8}"/>
    <dataValidation type="list" allowBlank="1" showErrorMessage="1" prompt="select one" sqref="B110" xr:uid="{DFD596DC-0A4E-4CA7-94C6-9399E5C93AC2}">
      <formula1>"Temporary,Permanent,Specialty"</formula1>
    </dataValidation>
    <dataValidation type="list" allowBlank="1" showErrorMessage="1" prompt="Are there any schools located within 3,000 feet of the site boundary? Enter or select &quot;Yes&quot; or &quot;No.&quot;" sqref="B108" xr:uid="{D7AF59B5-53CA-46CC-BC6A-CDAFA78E2279}">
      <formula1>"Yes,No"</formula1>
    </dataValidation>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B106" xr:uid="{CF6BED2A-8909-47A3-933C-6AF2AB1AB108}"/>
    <dataValidation allowBlank="1" showErrorMessage="1" prompt="Enter the site name." sqref="B105" xr:uid="{6916AF2D-EF5E-4789-AE80-302D333EC7F9}"/>
    <dataValidation allowBlank="1" showErrorMessage="1" prompt="Enter the county where the facility is physically located. " sqref="B98" xr:uid="{26CD90B8-E3EB-4741-847F-4FB6EE4BC1FF}"/>
    <dataValidation type="list" allowBlank="1" showErrorMessage="1" prompt="Enter the county where the facility is physically located. " sqref="B97" xr:uid="{F74E3235-A50F-42C8-BC01-3B80093C1C03}">
      <formula1>Counties</formula1>
    </dataValidation>
    <dataValidation allowBlank="1" showErrorMessage="1" prompt="Please include the ZIP Code of the physical facility site, not the ZIP Code of the applicant's mailing address. " sqref="B101:B102" xr:uid="{A6A9B383-7440-4246-9912-B2F520371E8C}"/>
    <dataValidation allowBlank="1" showErrorMessage="1" prompt="Enter the facility's city. If the address is not located in a city, then enter the city or town closest to the facility, even if it is not in the same county as the facility." sqref="B100" xr:uid="{197F81C3-190E-47FC-B15D-74182708BED5}"/>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B102" xr:uid="{3B41D45F-1774-4FCC-878D-5A580D1493FF}"/>
    <dataValidation allowBlank="1" showErrorMessage="1" prompt="Enter the facility street address. If there is no address, please describe the physical location in the next cell." sqref="B99" xr:uid="{CF5A6D77-8274-43F2-8EAB-1B51A63E4530}"/>
    <dataValidation allowBlank="1" showErrorMessage="1" promptTitle="federal operating permit only" prompt="If required to obtain a site operating permit (SOP) or general operating permit (GOP), list all associated permit number(s). If no associated permit number has been assigned yet, enter &quot;TBD&quot;:" sqref="B92" xr:uid="{CA5EFFDB-BFE1-4614-9BFC-77FE6B57E0E2}"/>
    <dataValidation allowBlank="1" showErrorMessage="1" prompt="if yes, list the permit numbers" sqref="B87" xr:uid="{F3CEADF0-141F-4711-B175-5CEAF2A36F63}"/>
    <dataValidation allowBlank="1" showErrorMessage="1" prompt="enter effective date" sqref="B82:B84" xr:uid="{21847AA1-3A71-4B5B-93C3-D27CFF577B5A}"/>
    <dataValidation type="list" allowBlank="1" showErrorMessage="1" prompt="Select either Initial, Change of Representation, or Initial (move to a new location)." sqref="B11" xr:uid="{02725B4E-CA37-43EF-850C-8E252FE21E5B}">
      <formula1>"Initial,Change of Representations,Initial (move to new location)"</formula1>
    </dataValidation>
    <dataValidation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B69" xr:uid="{6C293B2D-ED62-4F38-9D1E-977126260751}"/>
    <dataValidation allowBlank="1" showErrorMessage="1" prompt="Enter the email address of the Company Official Contact (not a consultant)." sqref="B65" xr:uid="{75639563-5D46-4243-A3A7-095D3452858F}"/>
    <dataValidation type="list" allowBlank="1" showErrorMessage="1" prompt="Select Yes or No" sqref="B28:B29" xr:uid="{F916A332-A868-4F33-BB0B-6E998E79F6D6}">
      <formula1>"Yes,No"</formula1>
    </dataValidation>
    <dataValidation allowBlank="1" showErrorMessage="1" prompt="List the legal name of the company,corporation, partnership, or person who is applying for the permit." sqref="B32" xr:uid="{82D76295-3FB1-47FA-B58F-91D97989A522}"/>
    <dataValidation allowBlank="1" showErrorMessage="1" prompt="Enter the Texas Secretary of State Charter or Registration Number, if it has been given." sqref="B35" xr:uid="{064A24BC-0119-44CC-AE3C-37062E3D7688}"/>
    <dataValidation allowBlank="1" showErrorMessage="1" prompt="enter email address" sqref="B49" xr:uid="{962702F4-F202-4EEC-BD5D-A2A7BE317C38}"/>
    <dataValidation allowBlank="1" showErrorMessage="1" prompt="enter registration number, if applicable" sqref="B13" xr:uid="{6CEF7176-55CB-4EFC-9E0A-06E09D0DCE1B}"/>
    <dataValidation type="list" allowBlank="1" showErrorMessage="1" prompt="Select either Initial, Change of Representation, Initial (move to a new location), or Renewal" sqref="B10" xr:uid="{6E2F5D3E-705D-499E-9248-61B861756171}">
      <formula1>"Initial,Change of Representations,Initial (move to new location), Renewal"</formula1>
    </dataValidation>
    <dataValidation allowBlank="1" showErrorMessage="1" prompt="This cell may be used for applicant internal comments. All comments must be deleted prior to application submittal." sqref="C5:C11" xr:uid="{0ECB7034-3CA0-423E-A770-AE16CA1D9FBB}"/>
    <dataValidation type="list" allowBlank="1" showErrorMessage="1" prompt="select one" sqref="B16:B24" xr:uid="{CDEBD622-A1B9-495E-9FD5-EF31548C1D28}">
      <formula1>"Yes,No"</formula1>
    </dataValidation>
    <dataValidation type="list" allowBlank="1" showInputMessage="1" showErrorMessage="1" prompt="select one" sqref="B25" xr:uid="{FA04EFA1-2BC9-40F7-87F8-D0164FE55763}">
      <formula1>"Yes,No"</formula1>
    </dataValidation>
    <dataValidation type="list" allowBlank="1" showErrorMessage="1" prompt="Select yes" sqref="B187:B188 B178:B185" xr:uid="{50297190-F01A-48A8-97B4-9A0D9B4C1937}">
      <formula1>"Yes"</formula1>
    </dataValidation>
    <dataValidation allowBlank="1" showErrorMessage="1" prompt="enter fax number" sqref="B63:B64 B48" xr:uid="{5AFA10A1-F05C-467C-9856-353E851C538E}"/>
    <dataValidation allowBlank="1" showErrorMessage="1" prompt="enter telephone number" sqref="B62 B47" xr:uid="{99A075CD-9B59-4956-8E76-C57F545345B4}"/>
    <dataValidation allowBlank="1" showErrorMessage="1" prompt="enter zip code" sqref="B61 B46" xr:uid="{BEF8E643-151A-46CB-A315-D0E1904C5668}"/>
    <dataValidation allowBlank="1" showErrorMessage="1" prompt="enter state" sqref="B60 B45" xr:uid="{AEAD28C6-62C1-40F4-A2C4-16AF346ED391}"/>
    <dataValidation allowBlank="1" showErrorMessage="1" prompt="enter city" sqref="B59 B44" xr:uid="{719986CA-EF01-4BCB-B48E-319BE34AF623}"/>
    <dataValidation allowBlank="1" showErrorMessage="1" prompt="enter address line 2" sqref="B58 B43" xr:uid="{E90CD53E-6639-4CAF-A6CC-882B7EE682F9}"/>
    <dataValidation allowBlank="1" showErrorMessage="1" prompt="enter mailing address" sqref="B57 B42" xr:uid="{1BDB44F2-A64F-4B09-ADAD-6723E4316368}"/>
    <dataValidation allowBlank="1" showErrorMessage="1" prompt="enter title" sqref="B56 B41" xr:uid="{1428FA69-D620-4AB0-8F76-901596C27B2F}"/>
    <dataValidation allowBlank="1" showErrorMessage="1" prompt="enter last name" sqref="B55 B40" xr:uid="{97F403FC-CE36-40E3-98C3-39AEAE3C3EF9}"/>
    <dataValidation allowBlank="1" showErrorMessage="1" prompt="enter first name" sqref="B54 B39" xr:uid="{249B1043-BF01-4F56-A8D2-BB1D5D89F46A}"/>
    <dataValidation allowBlank="1" showErrorMessage="1" prompt="enter prefix" sqref="B53 B38" xr:uid="{7EF2882A-F44E-40F2-BA6A-81FD59AAFB52}"/>
    <dataValidation type="list" allowBlank="1" showErrorMessage="1" prompt="select yes" sqref="B173:B177" xr:uid="{330A8084-958D-499D-81D0-C4BE31F3A1F9}">
      <formula1>"Yes"</formula1>
    </dataValidation>
    <dataValidation type="textLength" operator="greaterThan" allowBlank="1" showErrorMessage="1" errorTitle="This text cannot be deleted" error="Please do not alter the text in this block of instructions. It has been left unlocked for accessibility purposes only. Altering the text in an instructions block may result in denial of the permit application." prompt="enter registration number" sqref="A82:A84 B83:B84" xr:uid="{C6C14C99-54A6-4B6D-8DB0-4CC4052BF156}">
      <formula1>1</formula1>
    </dataValidation>
    <dataValidation type="list" allowBlank="1" showErrorMessage="1" prompt="Select yes or no" sqref="B16:B25" xr:uid="{95432888-6CF5-49DC-A1D3-7D1E4FCA4A9D}">
      <formula1>"Yes,No"</formula1>
    </dataValidation>
    <dataValidation type="list" allowBlank="1" showErrorMessage="1" promptTitle="Regulated ID Number (RN)" prompt="Does the applicant have unpaid deliquent fees and/or penalties owed to the TCEQ? Select Yes or No from the dropdown." sqref="B74" xr:uid="{B59505C9-2ED5-45D7-AE1E-86C192B73F23}">
      <formula1>"Yes,No"</formula1>
    </dataValidation>
    <dataValidation type="list" allowBlank="1" showErrorMessage="1" promptTitle="Core Data Form" prompt="select yes" sqref="B167" xr:uid="{97897E38-B4C2-442F-837D-42AC00791DA9}">
      <formula1>"Yes"</formula1>
    </dataValidation>
    <dataValidation type="list" allowBlank="1" showErrorMessage="1" promptTitle="Confidential Only" prompt="select yes" sqref="B164" xr:uid="{00F74EAF-345A-4169-846C-1D19F38EC405}">
      <formula1>"Yes"</formula1>
    </dataValidation>
    <dataValidation type="list" allowBlank="1" showErrorMessage="1" errorTitle="Invaluid response" error="Valid responses are Yes and N/A." prompt="select yes" sqref="B171" xr:uid="{6D85D785-9320-4282-A5D2-07954118DB28}">
      <formula1>"Yes"</formula1>
    </dataValidation>
    <dataValidation type="list" allowBlank="1" showErrorMessage="1" errorTitle="Invalid reponse" error="Valid responses are Yes and N/A." prompt="select yes" sqref="B172" xr:uid="{7D9FCECF-115C-4B7E-9A6C-F360FFEA8F07}">
      <formula1>"Yes"</formula1>
    </dataValidation>
    <dataValidation type="list" allowBlank="1" showErrorMessage="1" errorTitle="Invalid response" error="Valid responses are Yes and N/A." prompt="select yes" sqref="B170" xr:uid="{1AB2B54C-E730-4B14-876A-FAD9360A91ED}">
      <formula1>"Yes"</formula1>
    </dataValidation>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B74" xr:uid="{3934D865-AFF9-4ECA-8DA6-59D0F80B4035}">
      <formula1>"Yes,No"</formula1>
    </dataValidation>
    <dataValidation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A12:A13 B70 B92" xr:uid="{75952319-3503-4B93-A708-4415894E3B03}"/>
    <dataValidation type="list" allowBlank="1" showErrorMessage="1" prompt="Is a site operating permit (SOP) or general operating permit (GOP) review pending for this source, area, or site? Select &quot;Yes&quot; or &quot;No&quot; from the dropdown." sqref="B91" xr:uid="{12AC9AF8-4196-4799-8644-4993D49E1E0A}">
      <formula1>"Yes,No"</formula1>
    </dataValidation>
    <dataValidation type="list" allowBlank="1" showErrorMessage="1" prompt="select &quot;Yes&quot; or &quot;No&quot;." sqref="B157" xr:uid="{7A6D6834-FA2B-4217-B8FC-5F265F143C9D}">
      <formula1>"Yes,No"</formula1>
    </dataValidation>
    <dataValidation allowBlank="1" showErrorMessage="1" prompt="Enter the title of the Responsible Person." sqref="A41 A56 A143" xr:uid="{C01E49FD-238E-44F6-A818-CEAAB2B83EB2}"/>
    <dataValidation allowBlank="1" showErrorMessage="1" prompt="Enter the email address of the Responsible Person." sqref="A49:A50 A65 A129" xr:uid="{DC8FF3D8-EF9B-43CE-9944-C3246B67590D}"/>
    <dataValidation allowBlank="1" showErrorMessage="1" prompt="Enter the mailing address of the Responsible Person." sqref="A42:A43 A58:A59 A144:A145 A134:A135" xr:uid="{39D05B9F-267C-42E0-9A27-7A83507B6184}"/>
    <dataValidation allowBlank="1" showErrorMessage="1" prompt="Enter the fax number of the Responsible Person." sqref="A48 A64" xr:uid="{969841BC-3923-41E3-9C88-C31818A13D8B}"/>
    <dataValidation type="list" allowBlank="1" showErrorMessage="1" prompt="Is this application in response to an investigation, notice of violation, or enforcement action? Enter or select &quot;Yes&quot; or &quot;No&quot;." sqref="B156" xr:uid="{1ACCFB9D-07D7-48D8-874D-1BC29339D26C}">
      <formula1>"Yes,No"</formula1>
    </dataValidation>
    <dataValidation type="list" allowBlank="1" showErrorMessage="1" prompt="select yes or no" sqref="B163 B107 B91" xr:uid="{EBE4AC4B-9CC8-49D6-B115-E3F389AF5751}">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51:A52 A105:A107 A66:A68 A165:A169 A117:A128 A154:A158 A85:A87 A78:A81 A8:A25 A109:A114 A130:A132 A74:A76" xr:uid="{EC590D23-B4BD-4535-9BB8-48A89DCA9F93}">
      <formula1>1</formula1>
    </dataValidation>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3:A4" xr:uid="{E80331F2-2C1D-4D98-888B-7D5FF8C56D10}">
      <formula1>0</formula1>
    </dataValidation>
    <dataValidation type="list"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B91" xr:uid="{9FC01064-9F63-487D-9BEC-E6337325A375}">
      <formula1>"Yes, No"</formula1>
    </dataValidation>
    <dataValidation type="list" allowBlank="1" showErrorMessage="1" prompt="Are there any other facilities at this site that are authorized by Exemption, PBR, or Standard Permit?Select Yes or No from the dropdown." sqref="B79" xr:uid="{E2ABE2AF-4C7A-453B-AAA3-94A94194782A}">
      <formula1>"Yes,No"</formula1>
    </dataValidation>
    <dataValidation type="list" allowBlank="1" showErrorMessage="1" prompt="Are there any other air preconstruction permits at this site? Select yes or no from the dropdown." sqref="B86" xr:uid="{C48802C7-B653-4594-B2A8-D73A92D6546A}">
      <formula1>"Yes,No"</formula1>
    </dataValidation>
    <dataValidation type="list" allowBlank="1" showErrorMessage="1" prompt="Is this facility located at a site required to obtain a site operating permit (SOP) or general operating permit (GOP)? Select yes or no from the dropdown." sqref="B90" xr:uid="{41BC6275-43A5-4881-820A-D75FDA18B6AE}">
      <formula1>"Yes,No"</formula1>
    </dataValidation>
    <dataValidation allowBlank="1" showErrorMessage="1" prompt="Select either Initial, Change of Representation, Initial (move to a new location), or Renewal" sqref="C10" xr:uid="{A7FBB536-3C35-4136-B859-DC4D3AEAE825}"/>
    <dataValidation allowBlank="1" showErrorMessage="1" prompt="Select either Initial, Change of Representation, or Initial (move to a new location)." sqref="C11" xr:uid="{90D0A9CB-A334-4084-9ACA-0B53FD4E7994}"/>
  </dataValidations>
  <hyperlinks>
    <hyperlink ref="A123" r:id="rId1" xr:uid="{AA5412A5-2F52-4497-8676-EC652570DD21}"/>
    <hyperlink ref="A34" r:id="rId2" xr:uid="{B061E9E8-9E55-4FBA-A0ED-88BF8704E2D3}"/>
    <hyperlink ref="A166" r:id="rId3" xr:uid="{41A5A23F-76C0-45B8-812C-1C591A3CE4D6}"/>
    <hyperlink ref="A168" r:id="rId4" xr:uid="{1E89D664-87F2-4704-9D60-8D00401D5960}"/>
    <hyperlink ref="A130" r:id="rId5" xr:uid="{A3AFBEA1-47E1-499B-9862-CF03F9E68C06}"/>
    <hyperlink ref="A2" location="Cover!A1" display="Click here to go back to the Cover sheet." xr:uid="{685CD0FB-FB41-47CF-B80E-9B330B00A432}"/>
    <hyperlink ref="A189" location="'6004Checklist'!A1" display="Click here to go to 6004Checklist sheet." xr:uid="{F0E95485-0791-4071-B7DA-3E9109331591}"/>
    <hyperlink ref="A189:B189" location="'6004Checklist'!A1" display="Click here to go to the 6004Checklist sheet." xr:uid="{622D4B9F-9F29-4037-938A-AC217EC97957}"/>
    <hyperlink ref="A75" r:id="rId6" xr:uid="{975D1286-B58C-493B-8109-079C18D155A1}"/>
    <hyperlink ref="B188" r:id="rId7" display="https://www.tceq.texas.gov/permitting/air/air_permits.html" xr:uid="{6F7E4E60-DE33-4DD4-88AF-79D02E0BAF81}"/>
  </hyperlinks>
  <printOptions horizontalCentered="1"/>
  <pageMargins left="0.25" right="0.25" top="1" bottom="0.5" header="0.3" footer="0.3"/>
  <pageSetup scale="95" fitToHeight="0" orientation="portrait" r:id="rId8"/>
  <headerFooter scaleWithDoc="0">
    <oddHeader>&amp;C&amp;"Arial,Bold"Texas Commission on Environmental Quality
Form PI-1S-CBP&amp;11
&amp;10&amp;A&amp;RDate: ____________
Registration #: ____________
Company: ____________</oddHeader>
    <oddFooter>&amp;LVersion 6.0&amp;CPage &amp;P</oddFooter>
  </headerFooter>
  <tableParts count="19">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DCDC"/>
  </sheetPr>
  <dimension ref="A1:K156"/>
  <sheetViews>
    <sheetView showGridLines="0" zoomScaleNormal="100" workbookViewId="0">
      <selection sqref="A1:D1"/>
    </sheetView>
  </sheetViews>
  <sheetFormatPr defaultColWidth="0" defaultRowHeight="12.75" zeroHeight="1" x14ac:dyDescent="0.2"/>
  <cols>
    <col min="1" max="1" width="21.5703125" style="19" customWidth="1"/>
    <col min="2" max="2" width="57.140625" style="19" customWidth="1"/>
    <col min="3" max="3" width="17.7109375" style="371" customWidth="1"/>
    <col min="4" max="4" width="39.7109375" style="371" customWidth="1"/>
    <col min="5" max="5" width="41" style="19" customWidth="1"/>
    <col min="6" max="6" width="18.140625" hidden="1" customWidth="1"/>
    <col min="7" max="16384" width="9.140625" style="19" hidden="1"/>
  </cols>
  <sheetData>
    <row r="1" spans="1:11" ht="36" customHeight="1" thickBot="1" x14ac:dyDescent="0.25">
      <c r="A1" s="693" t="s">
        <v>26</v>
      </c>
      <c r="B1" s="694"/>
      <c r="C1" s="694"/>
      <c r="D1" s="695"/>
      <c r="E1" s="24" t="s">
        <v>46</v>
      </c>
      <c r="F1" t="s">
        <v>207</v>
      </c>
      <c r="G1" s="379" t="s">
        <v>48</v>
      </c>
      <c r="H1" s="379" t="s">
        <v>49</v>
      </c>
      <c r="I1" s="379" t="s">
        <v>50</v>
      </c>
      <c r="J1" s="379" t="s">
        <v>208</v>
      </c>
      <c r="K1" s="379" t="s">
        <v>209</v>
      </c>
    </row>
    <row r="2" spans="1:11" ht="15" customHeight="1" thickBot="1" x14ac:dyDescent="0.25">
      <c r="A2" s="705" t="s">
        <v>210</v>
      </c>
      <c r="B2" s="706"/>
      <c r="C2" s="706"/>
      <c r="D2" s="707"/>
      <c r="E2" s="137"/>
      <c r="G2" s="380"/>
      <c r="H2" s="380"/>
      <c r="I2" s="380"/>
    </row>
    <row r="3" spans="1:11" ht="74.25" customHeight="1" thickBot="1" x14ac:dyDescent="0.25">
      <c r="A3" s="696" t="s">
        <v>211</v>
      </c>
      <c r="B3" s="697"/>
      <c r="C3" s="697"/>
      <c r="D3" s="698"/>
      <c r="E3" s="25" t="s">
        <v>53</v>
      </c>
      <c r="F3" t="s">
        <v>212</v>
      </c>
      <c r="G3" s="380"/>
      <c r="H3" s="380"/>
      <c r="I3" s="380"/>
    </row>
    <row r="4" spans="1:11" ht="15.75" customHeight="1" x14ac:dyDescent="0.2">
      <c r="A4" s="699" t="s">
        <v>213</v>
      </c>
      <c r="B4" s="700"/>
      <c r="C4" s="700"/>
      <c r="D4" s="701"/>
      <c r="E4" s="82"/>
      <c r="F4" t="s">
        <v>214</v>
      </c>
      <c r="G4" s="380"/>
      <c r="H4" s="380"/>
      <c r="I4" s="380"/>
    </row>
    <row r="5" spans="1:11" ht="15.75" customHeight="1" x14ac:dyDescent="0.2">
      <c r="A5" s="702" t="s">
        <v>215</v>
      </c>
      <c r="B5" s="703"/>
      <c r="C5" s="703"/>
      <c r="D5" s="704"/>
      <c r="E5" s="26"/>
      <c r="G5" s="380"/>
      <c r="H5" s="380"/>
      <c r="I5" s="380"/>
    </row>
    <row r="6" spans="1:11" ht="14.25" x14ac:dyDescent="0.2">
      <c r="A6" s="685" t="s">
        <v>147</v>
      </c>
      <c r="B6" s="686"/>
      <c r="C6" s="689">
        <f>'PI-1S-CBP'!B110</f>
        <v>0</v>
      </c>
      <c r="D6" s="690"/>
      <c r="E6" s="26"/>
      <c r="G6" s="380"/>
      <c r="H6" s="380"/>
      <c r="I6" s="380"/>
    </row>
    <row r="7" spans="1:11" ht="15" thickBot="1" x14ac:dyDescent="0.25">
      <c r="A7" s="687" t="s">
        <v>216</v>
      </c>
      <c r="B7" s="688"/>
      <c r="C7" s="691"/>
      <c r="D7" s="692"/>
      <c r="E7" s="26"/>
      <c r="G7" s="380"/>
      <c r="H7" s="380"/>
      <c r="I7" s="380"/>
    </row>
    <row r="8" spans="1:11" ht="47.25" customHeight="1" x14ac:dyDescent="0.2">
      <c r="A8" s="715" t="s">
        <v>217</v>
      </c>
      <c r="B8" s="716"/>
      <c r="C8" s="710"/>
      <c r="D8" s="711"/>
      <c r="E8" s="26"/>
      <c r="G8" s="380"/>
      <c r="H8" s="380">
        <f>IF(C7="central mix",1,0)</f>
        <v>0</v>
      </c>
      <c r="I8" s="380"/>
    </row>
    <row r="9" spans="1:11" ht="17.25" customHeight="1" x14ac:dyDescent="0.2">
      <c r="A9" s="717" t="s">
        <v>218</v>
      </c>
      <c r="B9" s="718"/>
      <c r="C9" s="719"/>
      <c r="D9" s="720"/>
      <c r="E9" s="26"/>
      <c r="G9" s="380"/>
      <c r="H9" s="380"/>
      <c r="I9" s="380"/>
    </row>
    <row r="10" spans="1:11" ht="15" thickBot="1" x14ac:dyDescent="0.25">
      <c r="A10" s="708" t="s">
        <v>220</v>
      </c>
      <c r="B10" s="709"/>
      <c r="C10" s="691"/>
      <c r="D10" s="692"/>
      <c r="E10" s="26"/>
      <c r="G10" s="380"/>
      <c r="H10" s="380"/>
      <c r="I10" s="380"/>
    </row>
    <row r="11" spans="1:11" ht="15.75" thickBot="1" x14ac:dyDescent="0.25">
      <c r="A11" s="724"/>
      <c r="B11" s="725"/>
      <c r="C11" s="725"/>
      <c r="D11" s="726"/>
      <c r="E11" s="26"/>
      <c r="G11" s="380"/>
      <c r="H11" s="380"/>
      <c r="I11" s="380"/>
    </row>
    <row r="12" spans="1:11" ht="18" customHeight="1" thickBot="1" x14ac:dyDescent="0.25">
      <c r="A12" s="712" t="s">
        <v>221</v>
      </c>
      <c r="B12" s="713"/>
      <c r="C12" s="713"/>
      <c r="D12" s="714"/>
      <c r="E12" s="26"/>
      <c r="G12" s="380"/>
      <c r="H12" s="380"/>
      <c r="I12" s="380"/>
    </row>
    <row r="13" spans="1:11" ht="15.75" customHeight="1" thickBot="1" x14ac:dyDescent="0.25">
      <c r="A13" s="336" t="s">
        <v>222</v>
      </c>
      <c r="B13" s="112" t="s">
        <v>223</v>
      </c>
      <c r="C13" s="367" t="s">
        <v>71</v>
      </c>
      <c r="D13" s="366" t="s">
        <v>224</v>
      </c>
      <c r="E13" s="411"/>
      <c r="F13" s="217"/>
      <c r="G13" s="88"/>
      <c r="H13" s="88"/>
      <c r="I13" s="343"/>
      <c r="J13"/>
    </row>
    <row r="14" spans="1:11" ht="43.5" thickBot="1" x14ac:dyDescent="0.25">
      <c r="A14" s="521" t="s">
        <v>225</v>
      </c>
      <c r="B14" s="452" t="s">
        <v>226</v>
      </c>
      <c r="C14" s="512"/>
      <c r="D14" s="522" t="str">
        <f>IF(C14="no","This project does not meet the requirements of the Standard Permit.","N/A")</f>
        <v>N/A</v>
      </c>
      <c r="E14" s="26"/>
      <c r="G14" s="19">
        <f>IF(_6004Checklist_Section_3[[#This Row],[Response]]="no",1,0)</f>
        <v>0</v>
      </c>
      <c r="H14" s="380"/>
      <c r="I14" s="380"/>
    </row>
    <row r="15" spans="1:11" ht="15" customHeight="1" thickBot="1" x14ac:dyDescent="0.25">
      <c r="A15" s="729"/>
      <c r="B15" s="730"/>
      <c r="C15" s="730"/>
      <c r="D15" s="731"/>
      <c r="E15" s="232"/>
      <c r="F15" s="548"/>
      <c r="G15" s="412"/>
      <c r="H15" s="380"/>
      <c r="I15" s="380"/>
    </row>
    <row r="16" spans="1:11" ht="18" customHeight="1" thickBot="1" x14ac:dyDescent="0.25">
      <c r="A16" s="740" t="s">
        <v>227</v>
      </c>
      <c r="B16" s="741"/>
      <c r="C16" s="741"/>
      <c r="D16" s="742"/>
      <c r="E16" s="232"/>
      <c r="F16" s="549" t="s">
        <v>228</v>
      </c>
      <c r="H16" s="380">
        <f>IF($C$22="Yes", 1, 0)</f>
        <v>0</v>
      </c>
      <c r="I16" s="380"/>
    </row>
    <row r="17" spans="1:10" ht="15.75" thickBot="1" x14ac:dyDescent="0.25">
      <c r="A17" s="336" t="s">
        <v>222</v>
      </c>
      <c r="B17" s="111" t="s">
        <v>223</v>
      </c>
      <c r="C17" s="198" t="s">
        <v>71</v>
      </c>
      <c r="D17" s="368" t="s">
        <v>224</v>
      </c>
      <c r="E17" s="411"/>
      <c r="F17" s="550"/>
      <c r="G17" s="413"/>
      <c r="H17" s="88"/>
      <c r="I17" s="343"/>
      <c r="J17"/>
    </row>
    <row r="18" spans="1:10" ht="30" customHeight="1" x14ac:dyDescent="0.2">
      <c r="A18" s="518" t="s">
        <v>229</v>
      </c>
      <c r="B18" s="110" t="s">
        <v>230</v>
      </c>
      <c r="C18" s="372"/>
      <c r="D18" s="337" t="str">
        <f>IF(C18="no","This project does not meet the requirements of the Standard Permit.","N/A")</f>
        <v>N/A</v>
      </c>
      <c r="E18" s="232"/>
      <c r="F18" s="551"/>
      <c r="G18" s="412">
        <f>IF(_6004Checklist_Section_4[[#This Row],[Response]]="no",1,0)</f>
        <v>0</v>
      </c>
      <c r="H18" s="380"/>
      <c r="I18" s="380"/>
    </row>
    <row r="19" spans="1:10" ht="45" customHeight="1" thickBot="1" x14ac:dyDescent="0.25">
      <c r="A19" s="519" t="s">
        <v>229</v>
      </c>
      <c r="B19" s="395" t="s">
        <v>231</v>
      </c>
      <c r="C19" s="373"/>
      <c r="D19" s="363" t="s">
        <v>232</v>
      </c>
      <c r="E19" s="232"/>
      <c r="F19" s="552"/>
      <c r="G19" s="412"/>
      <c r="H19" s="575" t="s">
        <v>1273</v>
      </c>
      <c r="I19" s="380"/>
      <c r="J19" s="19" t="s">
        <v>1274</v>
      </c>
    </row>
    <row r="20" spans="1:10" ht="30.75" customHeight="1" x14ac:dyDescent="0.2">
      <c r="A20" s="519" t="s">
        <v>229</v>
      </c>
      <c r="B20" s="319" t="s">
        <v>233</v>
      </c>
      <c r="C20" s="373"/>
      <c r="D20" s="338" t="str">
        <f>IF(C20="no","This project does not meet the requirements of the Standard Permit.","N/A")</f>
        <v>N/A</v>
      </c>
      <c r="E20" s="26"/>
      <c r="F20" t="s">
        <v>234</v>
      </c>
      <c r="G20" s="381">
        <f>IF(_6004Checklist_Section_4[[#This Row],[Response]]="no",1,0)</f>
        <v>0</v>
      </c>
      <c r="H20" s="380">
        <f>IF(OR($C$6&lt;&gt;"temporary",$C$19="no"),1,0)</f>
        <v>1</v>
      </c>
      <c r="I20" s="380"/>
    </row>
    <row r="21" spans="1:10" ht="30.75" customHeight="1" x14ac:dyDescent="0.2">
      <c r="A21" s="519" t="s">
        <v>229</v>
      </c>
      <c r="B21" s="319" t="s">
        <v>235</v>
      </c>
      <c r="C21" s="319" t="str">
        <f>IF('PI-1S-CBP'!B114="","",'PI-1S-CBP'!B114)</f>
        <v/>
      </c>
      <c r="D21" s="338" t="s">
        <v>232</v>
      </c>
      <c r="E21" s="26"/>
      <c r="F21" t="s">
        <v>234</v>
      </c>
      <c r="G21" s="381">
        <f>IF(OR(_6004Checklist_Section_4[[#This Row],[Response]]="no",$C$6&lt;&gt;"temporary"),1,0)</f>
        <v>1</v>
      </c>
      <c r="H21" s="380">
        <f>IF(OR($C$6&lt;&gt;"temporary",$C$19="no"),1,0)</f>
        <v>1</v>
      </c>
      <c r="I21" s="380"/>
    </row>
    <row r="22" spans="1:10" ht="45" customHeight="1" x14ac:dyDescent="0.2">
      <c r="A22" s="519" t="s">
        <v>229</v>
      </c>
      <c r="B22" s="396" t="s">
        <v>236</v>
      </c>
      <c r="C22" s="320" t="str">
        <f>IF('PI-1S-CBP'!B29="","",'PI-1S-CBP'!B29)</f>
        <v/>
      </c>
      <c r="D22" s="520" t="s">
        <v>232</v>
      </c>
      <c r="E22" s="26"/>
      <c r="G22" s="380"/>
      <c r="H22" s="381" t="s">
        <v>1275</v>
      </c>
      <c r="I22" s="380"/>
      <c r="J22" s="19" t="s">
        <v>1274</v>
      </c>
    </row>
    <row r="23" spans="1:10" ht="30" customHeight="1" thickBot="1" x14ac:dyDescent="0.25">
      <c r="A23" s="737" t="str">
        <f>IF(AND(OR(C19="yes",C22="yes"),OR('PI-1S-CBP'!B10="initial",'PI-1S-CBP'!B10="initial (move to new location)"),'PI-1S-CBP'!B107="yes",'PI-1S-CBP'!B110="temporary"),"If the plant is already registered in Texas as a temporary facility you must submit your relocation information to the applicable regional office. The application will not be accepted in Austin for review.",IF(OR(C19="yes",C22="yes"),"If the application meets one of the two requirements above public notice is not required and the application fee is waived. A completed application workbook is required to be submitted to APD.",""))</f>
        <v/>
      </c>
      <c r="B23" s="738"/>
      <c r="C23" s="738"/>
      <c r="D23" s="739"/>
      <c r="E23" s="26"/>
      <c r="G23" s="380"/>
      <c r="H23" s="380"/>
      <c r="I23" s="380"/>
    </row>
    <row r="24" spans="1:10" ht="15" customHeight="1" thickBot="1" x14ac:dyDescent="0.25">
      <c r="A24" s="732"/>
      <c r="B24" s="733"/>
      <c r="C24" s="733"/>
      <c r="D24" s="734"/>
      <c r="E24" s="26"/>
      <c r="G24" s="380"/>
      <c r="H24" s="380"/>
      <c r="I24" s="380"/>
    </row>
    <row r="25" spans="1:10" ht="18" customHeight="1" x14ac:dyDescent="0.2">
      <c r="A25" s="712" t="s">
        <v>237</v>
      </c>
      <c r="B25" s="713"/>
      <c r="C25" s="713"/>
      <c r="D25" s="714"/>
      <c r="E25" s="26"/>
      <c r="G25" s="380"/>
      <c r="H25" s="380"/>
      <c r="I25" s="380"/>
    </row>
    <row r="26" spans="1:10" ht="15.75" thickBot="1" x14ac:dyDescent="0.25">
      <c r="A26" s="336" t="s">
        <v>222</v>
      </c>
      <c r="B26" s="112" t="s">
        <v>223</v>
      </c>
      <c r="C26" s="367" t="s">
        <v>71</v>
      </c>
      <c r="D26" s="368" t="s">
        <v>224</v>
      </c>
      <c r="E26" s="387"/>
      <c r="F26" s="553"/>
      <c r="G26" s="88"/>
      <c r="H26" s="88"/>
      <c r="I26" s="380"/>
      <c r="J26"/>
    </row>
    <row r="27" spans="1:10" ht="32.25" customHeight="1" x14ac:dyDescent="0.2">
      <c r="A27" s="514" t="s">
        <v>238</v>
      </c>
      <c r="B27" s="86" t="s">
        <v>239</v>
      </c>
      <c r="C27" s="358"/>
      <c r="D27" s="360" t="str">
        <f>IF(G27=1,"This project does not meet the requirements of the Standard Permit.","N/A")</f>
        <v>N/A</v>
      </c>
      <c r="E27" s="26"/>
      <c r="F27" s="19"/>
      <c r="G27" s="380">
        <f>IF(AND(_6004Checklist_Section_5[[#This Row],[Response]]="no",C6="Specialty"),1,0)</f>
        <v>0</v>
      </c>
      <c r="H27" s="381" t="s">
        <v>1276</v>
      </c>
      <c r="I27" s="380"/>
      <c r="J27" s="19" t="s">
        <v>1274</v>
      </c>
    </row>
    <row r="28" spans="1:10" ht="28.5" x14ac:dyDescent="0.2">
      <c r="A28" s="341" t="s">
        <v>238</v>
      </c>
      <c r="B28" s="28" t="s">
        <v>240</v>
      </c>
      <c r="C28" s="335"/>
      <c r="D28" s="338" t="s">
        <v>232</v>
      </c>
      <c r="E28" s="26"/>
      <c r="G28" s="380"/>
      <c r="H28" s="380"/>
      <c r="I28" s="380"/>
    </row>
    <row r="29" spans="1:10" ht="14.25" x14ac:dyDescent="0.2">
      <c r="A29" s="341" t="s">
        <v>238</v>
      </c>
      <c r="B29" s="28" t="s">
        <v>241</v>
      </c>
      <c r="C29" s="335"/>
      <c r="D29" s="338" t="s">
        <v>232</v>
      </c>
      <c r="E29" s="26"/>
      <c r="G29" s="380"/>
      <c r="H29" s="380">
        <f>IF($C$28="N/A",1,0)</f>
        <v>0</v>
      </c>
      <c r="I29" s="380"/>
    </row>
    <row r="30" spans="1:10" ht="14.25" x14ac:dyDescent="0.2">
      <c r="A30" s="340" t="s">
        <v>238</v>
      </c>
      <c r="B30" s="28" t="s">
        <v>242</v>
      </c>
      <c r="C30" s="335"/>
      <c r="D30" s="338" t="s">
        <v>232</v>
      </c>
      <c r="E30" s="26"/>
      <c r="F30" s="19"/>
      <c r="G30" s="380"/>
      <c r="H30" s="380">
        <f>IF($C$28="N/A",1,0)</f>
        <v>0</v>
      </c>
      <c r="I30" s="380"/>
    </row>
    <row r="31" spans="1:10" ht="30.75" customHeight="1" x14ac:dyDescent="0.2">
      <c r="A31" s="216" t="s">
        <v>243</v>
      </c>
      <c r="B31" s="28" t="s">
        <v>244</v>
      </c>
      <c r="C31" s="213"/>
      <c r="D31" s="338" t="str">
        <f>IF(C31="no","This project does not meet the requirements of the Standard Permit.","N/A")</f>
        <v>N/A</v>
      </c>
      <c r="E31" s="26"/>
      <c r="G31" s="380">
        <f>IF(_6004Checklist_Section_5[[#This Row],[Response]]="no",1,0)</f>
        <v>0</v>
      </c>
      <c r="H31" s="380"/>
      <c r="I31" s="380"/>
    </row>
    <row r="32" spans="1:10" ht="44.25" customHeight="1" x14ac:dyDescent="0.2">
      <c r="A32" s="216" t="s">
        <v>245</v>
      </c>
      <c r="B32" s="28" t="s">
        <v>246</v>
      </c>
      <c r="C32" s="374"/>
      <c r="D32" s="338" t="s">
        <v>232</v>
      </c>
      <c r="E32" s="26"/>
      <c r="G32" s="380"/>
      <c r="H32" s="380"/>
      <c r="I32" s="380"/>
    </row>
    <row r="33" spans="1:9" ht="30.75" customHeight="1" x14ac:dyDescent="0.2">
      <c r="A33" s="216" t="s">
        <v>247</v>
      </c>
      <c r="B33" s="28" t="s">
        <v>248</v>
      </c>
      <c r="C33" s="213"/>
      <c r="D33" s="338" t="str">
        <f>IF(C33="no","This project does not meet the requirements of the Standard Permit.","N/A")</f>
        <v>N/A</v>
      </c>
      <c r="E33" s="26"/>
      <c r="G33" s="380">
        <f>IF(_6004Checklist_Section_5[[#This Row],[Response]]="no",1,0)</f>
        <v>0</v>
      </c>
      <c r="H33" s="380"/>
      <c r="I33" s="380"/>
    </row>
    <row r="34" spans="1:9" ht="45" customHeight="1" x14ac:dyDescent="0.2">
      <c r="A34" s="216" t="s">
        <v>249</v>
      </c>
      <c r="B34" s="28" t="s">
        <v>250</v>
      </c>
      <c r="C34" s="213"/>
      <c r="D34" s="338" t="str">
        <f>IF(C34="no","This project does not meet the requirements of the Standard Permit.","N/A")</f>
        <v>N/A</v>
      </c>
      <c r="E34" s="26"/>
      <c r="G34" s="380">
        <f>IF(_6004Checklist_Section_5[[#This Row],[Response]]="no",1,0)</f>
        <v>0</v>
      </c>
      <c r="H34" s="380"/>
      <c r="I34" s="380"/>
    </row>
    <row r="35" spans="1:9" ht="45" customHeight="1" x14ac:dyDescent="0.2">
      <c r="A35" s="216" t="s">
        <v>251</v>
      </c>
      <c r="B35" s="28" t="s">
        <v>252</v>
      </c>
      <c r="C35" s="213"/>
      <c r="D35" s="338" t="str">
        <f>IF(C35="no","This project does not meet the requirements of the Standard Permit.","N/A")</f>
        <v>N/A</v>
      </c>
      <c r="E35" s="26"/>
      <c r="G35" s="380">
        <f>IF(_6004Checklist_Section_5[[#This Row],[Response]]="no",1,0)</f>
        <v>0</v>
      </c>
      <c r="H35" s="380"/>
      <c r="I35" s="380"/>
    </row>
    <row r="36" spans="1:9" ht="60" customHeight="1" x14ac:dyDescent="0.2">
      <c r="A36" s="216" t="s">
        <v>253</v>
      </c>
      <c r="B36" s="28" t="s">
        <v>254</v>
      </c>
      <c r="C36" s="213"/>
      <c r="D36" s="338" t="str">
        <f>IF(C36="no","This project does not meet the requirements of the Standard Permit.","N/A")</f>
        <v>N/A</v>
      </c>
      <c r="E36" s="26"/>
      <c r="G36" s="380">
        <f>IF(_6004Checklist_Section_5[[#This Row],[Response]]="no",1,0)</f>
        <v>0</v>
      </c>
      <c r="H36" s="380"/>
      <c r="I36" s="380"/>
    </row>
    <row r="37" spans="1:9" ht="31.5" customHeight="1" x14ac:dyDescent="0.2">
      <c r="A37" s="216" t="s">
        <v>255</v>
      </c>
      <c r="B37" s="28" t="s">
        <v>256</v>
      </c>
      <c r="C37" s="213"/>
      <c r="D37" s="338" t="s">
        <v>232</v>
      </c>
      <c r="E37" s="26"/>
      <c r="G37" s="380"/>
      <c r="H37" s="380"/>
      <c r="I37" s="380"/>
    </row>
    <row r="38" spans="1:9" ht="45" customHeight="1" x14ac:dyDescent="0.2">
      <c r="A38" s="216" t="s">
        <v>257</v>
      </c>
      <c r="B38" s="28" t="s">
        <v>258</v>
      </c>
      <c r="C38" s="213"/>
      <c r="D38" s="338" t="str">
        <f>IF(C38="no","This project does not meet the requirements of the Standard Permit.","N/A")</f>
        <v>N/A</v>
      </c>
      <c r="E38" s="26"/>
      <c r="F38" t="s">
        <v>259</v>
      </c>
      <c r="G38" s="380">
        <f>IF(_6004Checklist_Section_5[[#This Row],[Response]]="no",1,0)</f>
        <v>0</v>
      </c>
      <c r="H38" s="380">
        <f>IF(C37="warning device",1,0)</f>
        <v>0</v>
      </c>
      <c r="I38" s="380"/>
    </row>
    <row r="39" spans="1:9" ht="43.5" customHeight="1" x14ac:dyDescent="0.2">
      <c r="A39" s="245" t="s">
        <v>260</v>
      </c>
      <c r="B39" s="28" t="s">
        <v>261</v>
      </c>
      <c r="C39" s="213"/>
      <c r="D39" s="338" t="str">
        <f>IF(C39="no","This project does not meet the requirements of the Standard Permit.","N/A")</f>
        <v>N/A</v>
      </c>
      <c r="E39" s="26"/>
      <c r="F39" t="s">
        <v>262</v>
      </c>
      <c r="G39" s="380">
        <f>IF(_6004Checklist_Section_5[[#This Row],[Response]]="no",1,0)</f>
        <v>0</v>
      </c>
      <c r="H39" s="380">
        <f>IF($C$37="Automatic shut-off device",1,0)</f>
        <v>0</v>
      </c>
      <c r="I39" s="380"/>
    </row>
    <row r="40" spans="1:9" ht="30.75" customHeight="1" x14ac:dyDescent="0.2">
      <c r="A40" s="340" t="s">
        <v>260</v>
      </c>
      <c r="B40" s="28" t="s">
        <v>263</v>
      </c>
      <c r="C40" s="213"/>
      <c r="D40" s="338" t="str">
        <f>IF(C40="no","This project does not meet the requirements of the Standard Permit.","N/A")</f>
        <v>N/A</v>
      </c>
      <c r="E40" s="26"/>
      <c r="F40" t="s">
        <v>262</v>
      </c>
      <c r="G40" s="380">
        <f>IF(_6004Checklist_Section_5[[#This Row],[Response]]="no",1,0)</f>
        <v>0</v>
      </c>
      <c r="H40" s="380">
        <f>IF($C$37="Automatic shut-off device",1,0)</f>
        <v>0</v>
      </c>
      <c r="I40" s="380"/>
    </row>
    <row r="41" spans="1:9" ht="60" customHeight="1" x14ac:dyDescent="0.2">
      <c r="A41" s="397" t="s">
        <v>264</v>
      </c>
      <c r="B41" s="394" t="s">
        <v>265</v>
      </c>
      <c r="C41" s="213"/>
      <c r="D41" s="338" t="str">
        <f>IF(C41="no","This project does not meet the requirements of the Standard Permit.","N/A")</f>
        <v>N/A</v>
      </c>
      <c r="E41" s="26"/>
      <c r="G41" s="380">
        <f>IF(_6004Checklist_Section_5[[#This Row],[Response]]="no",1,0)</f>
        <v>0</v>
      </c>
      <c r="H41" s="380"/>
      <c r="I41" s="380"/>
    </row>
    <row r="42" spans="1:9" ht="42.75" x14ac:dyDescent="0.2">
      <c r="A42" s="397" t="s">
        <v>266</v>
      </c>
      <c r="B42" s="319" t="s">
        <v>267</v>
      </c>
      <c r="C42" s="213"/>
      <c r="D42" s="338" t="s">
        <v>232</v>
      </c>
      <c r="E42" s="26"/>
      <c r="G42" s="380"/>
      <c r="H42" s="380"/>
      <c r="I42" s="380"/>
    </row>
    <row r="43" spans="1:9" ht="14.25" x14ac:dyDescent="0.2">
      <c r="A43" s="341" t="s">
        <v>266</v>
      </c>
      <c r="B43" s="30" t="s">
        <v>268</v>
      </c>
      <c r="C43" s="213"/>
      <c r="D43" s="338" t="s">
        <v>232</v>
      </c>
      <c r="E43" s="26"/>
      <c r="G43" s="380"/>
      <c r="H43" s="380"/>
      <c r="I43" s="380"/>
    </row>
    <row r="44" spans="1:9" ht="14.25" x14ac:dyDescent="0.2">
      <c r="A44" s="341" t="s">
        <v>266</v>
      </c>
      <c r="B44" s="30" t="s">
        <v>269</v>
      </c>
      <c r="C44" s="213"/>
      <c r="D44" s="338" t="s">
        <v>232</v>
      </c>
      <c r="E44" s="26"/>
      <c r="G44" s="380"/>
      <c r="H44" s="380">
        <f>IF(C43="N/A",1,0)</f>
        <v>0</v>
      </c>
      <c r="I44" s="380"/>
    </row>
    <row r="45" spans="1:9" ht="14.25" x14ac:dyDescent="0.2">
      <c r="A45" s="341" t="s">
        <v>266</v>
      </c>
      <c r="B45" s="30" t="s">
        <v>270</v>
      </c>
      <c r="C45" s="213"/>
      <c r="D45" s="338" t="s">
        <v>232</v>
      </c>
      <c r="E45" s="26"/>
      <c r="G45" s="380"/>
      <c r="H45" s="380">
        <f>IF(OR(C43="N/A",C44="N/A"),1,0)</f>
        <v>0</v>
      </c>
      <c r="I45" s="380"/>
    </row>
    <row r="46" spans="1:9" ht="42.75" x14ac:dyDescent="0.2">
      <c r="A46" s="245" t="s">
        <v>271</v>
      </c>
      <c r="B46" s="30" t="s">
        <v>272</v>
      </c>
      <c r="C46" s="213"/>
      <c r="D46" s="338" t="s">
        <v>232</v>
      </c>
      <c r="E46" s="307"/>
      <c r="G46" s="380"/>
      <c r="H46" s="380"/>
      <c r="I46" s="380"/>
    </row>
    <row r="47" spans="1:9" ht="14.25" x14ac:dyDescent="0.2">
      <c r="A47" s="341"/>
      <c r="B47" s="30" t="s">
        <v>268</v>
      </c>
      <c r="C47" s="213"/>
      <c r="D47" s="338" t="s">
        <v>232</v>
      </c>
      <c r="E47" s="307"/>
      <c r="G47" s="380"/>
      <c r="H47" s="380"/>
      <c r="I47" s="380"/>
    </row>
    <row r="48" spans="1:9" ht="14.25" x14ac:dyDescent="0.2">
      <c r="A48" s="341" t="s">
        <v>271</v>
      </c>
      <c r="B48" s="30" t="s">
        <v>269</v>
      </c>
      <c r="C48" s="213"/>
      <c r="D48" s="338" t="s">
        <v>232</v>
      </c>
      <c r="E48" s="307"/>
      <c r="G48" s="380"/>
      <c r="H48" s="380">
        <f>IF(C47="N/A",1,0)</f>
        <v>0</v>
      </c>
      <c r="I48" s="380"/>
    </row>
    <row r="49" spans="1:9" ht="28.5" x14ac:dyDescent="0.2">
      <c r="A49" s="340" t="s">
        <v>271</v>
      </c>
      <c r="B49" s="30" t="s">
        <v>273</v>
      </c>
      <c r="C49" s="213"/>
      <c r="D49" s="165" t="str">
        <f>IF(C49="no","This project does not meet the requirements of the Standard Permit.","N/A")</f>
        <v>N/A</v>
      </c>
      <c r="E49" s="307"/>
      <c r="G49" s="380">
        <f>IF(_6004Checklist_Section_5[[#This Row],[Response]]="no",1,0)</f>
        <v>0</v>
      </c>
      <c r="H49" s="380"/>
      <c r="I49" s="380"/>
    </row>
    <row r="50" spans="1:9" ht="42.75" x14ac:dyDescent="0.2">
      <c r="A50" s="514" t="s">
        <v>274</v>
      </c>
      <c r="B50" s="28" t="s">
        <v>275</v>
      </c>
      <c r="C50" s="213"/>
      <c r="D50" s="338" t="str">
        <f>IF(C50="I disagree","This project does not meet the requirements of the Standard Permit.","N/A")</f>
        <v>N/A</v>
      </c>
      <c r="E50" s="26"/>
      <c r="G50" s="380">
        <f>IF(_6004Checklist_Section_5[[#This Row],[Response]]="I disagree",1,0)</f>
        <v>0</v>
      </c>
      <c r="H50" s="380"/>
      <c r="I50" s="380"/>
    </row>
    <row r="51" spans="1:9" ht="57" x14ac:dyDescent="0.2">
      <c r="A51" s="245" t="s">
        <v>276</v>
      </c>
      <c r="B51" s="30" t="s">
        <v>277</v>
      </c>
      <c r="C51" s="213"/>
      <c r="D51" s="338" t="str">
        <f>IF(C51="no","This project does not meet the requirements of the Standard Permit.","N/A")</f>
        <v>N/A</v>
      </c>
      <c r="E51" s="307"/>
      <c r="G51" s="380">
        <f>IF(_6004Checklist_Section_5[[#This Row],[Response]]="I disagree",1,0)</f>
        <v>0</v>
      </c>
      <c r="H51" s="380"/>
      <c r="I51" s="380"/>
    </row>
    <row r="52" spans="1:9" ht="42.75" x14ac:dyDescent="0.2">
      <c r="A52" s="341" t="s">
        <v>276</v>
      </c>
      <c r="B52" s="30" t="s">
        <v>278</v>
      </c>
      <c r="C52" s="213"/>
      <c r="D52" s="338" t="str">
        <f>IF(C52="no","This project does not meet the requirements of the Standard Permit.","N/A")</f>
        <v>N/A</v>
      </c>
      <c r="E52" s="26"/>
      <c r="G52" s="380">
        <f>IF(_6004Checklist_Section_5[[#This Row],[Response]]="no",1,0)</f>
        <v>0</v>
      </c>
      <c r="H52" s="380"/>
      <c r="I52" s="380"/>
    </row>
    <row r="53" spans="1:9" ht="28.5" x14ac:dyDescent="0.2">
      <c r="A53" s="340" t="s">
        <v>276</v>
      </c>
      <c r="B53" s="30" t="s">
        <v>279</v>
      </c>
      <c r="C53" s="213"/>
      <c r="D53" s="338" t="str">
        <f>IF(C53="no","This project does not meet the requirements of the Standard Permit.","N/A")</f>
        <v>N/A</v>
      </c>
      <c r="E53" s="26"/>
      <c r="G53" s="380">
        <f>IF(_6004Checklist_Section_5[[#This Row],[Response]]="no",1,0)</f>
        <v>0</v>
      </c>
      <c r="H53" s="380"/>
      <c r="I53" s="380"/>
    </row>
    <row r="54" spans="1:9" ht="30" customHeight="1" x14ac:dyDescent="0.2">
      <c r="A54" s="514" t="s">
        <v>280</v>
      </c>
      <c r="B54" s="30" t="s">
        <v>281</v>
      </c>
      <c r="C54" s="213"/>
      <c r="D54" s="338" t="s">
        <v>232</v>
      </c>
      <c r="E54" s="26"/>
      <c r="G54" s="380"/>
      <c r="H54" s="380"/>
      <c r="I54" s="380"/>
    </row>
    <row r="55" spans="1:9" ht="42.75" x14ac:dyDescent="0.2">
      <c r="A55" s="340" t="s">
        <v>280</v>
      </c>
      <c r="B55" s="319" t="s">
        <v>282</v>
      </c>
      <c r="C55" s="213"/>
      <c r="D55" s="338" t="str">
        <f>IF(C55="YES","This project does not meet the requirements of the Standard Permit.","N/A")</f>
        <v>N/A</v>
      </c>
      <c r="E55" s="26"/>
      <c r="F55" t="s">
        <v>283</v>
      </c>
      <c r="G55" s="380">
        <f>IF(_6004Checklist_Section_5[[#This Row],[Response]]="yes",1,0)</f>
        <v>0</v>
      </c>
      <c r="H55" s="380">
        <f>IF(C54&gt;=550,1,0)</f>
        <v>0</v>
      </c>
      <c r="I55" s="380"/>
    </row>
    <row r="56" spans="1:9" ht="30" customHeight="1" x14ac:dyDescent="0.2">
      <c r="A56" s="397" t="s">
        <v>284</v>
      </c>
      <c r="B56" s="319" t="s">
        <v>220</v>
      </c>
      <c r="C56" s="391">
        <f>C10</f>
        <v>0</v>
      </c>
      <c r="D56" s="338" t="s">
        <v>232</v>
      </c>
      <c r="E56" s="26"/>
      <c r="G56" s="380"/>
      <c r="H56" s="380"/>
      <c r="I56" s="380"/>
    </row>
    <row r="57" spans="1:9" ht="30" customHeight="1" x14ac:dyDescent="0.2">
      <c r="A57" s="340" t="s">
        <v>284</v>
      </c>
      <c r="B57" s="319" t="s">
        <v>285</v>
      </c>
      <c r="C57" s="213"/>
      <c r="D57" s="338" t="str">
        <f>IF(C57="no","This project does not meet the requirements of the Standard Permit.","N/A")</f>
        <v>N/A</v>
      </c>
      <c r="E57" s="26"/>
      <c r="F57" t="s">
        <v>286</v>
      </c>
      <c r="G57" s="380">
        <f>IF(_6004Checklist_Section_5[[#This Row],[Response]]="no",1,0)</f>
        <v>0</v>
      </c>
      <c r="H57" s="380">
        <f>IF(C56="no",1,0)</f>
        <v>0</v>
      </c>
      <c r="I57" s="380"/>
    </row>
    <row r="58" spans="1:9" ht="30" customHeight="1" x14ac:dyDescent="0.2">
      <c r="A58" s="514" t="s">
        <v>287</v>
      </c>
      <c r="B58" s="118" t="s">
        <v>288</v>
      </c>
      <c r="C58" s="214"/>
      <c r="D58" s="339" t="str">
        <f>IF(C58="I disagree","This project does not meet the requirements of the Standard Permit.","N/A")</f>
        <v>N/A</v>
      </c>
      <c r="E58" s="26"/>
      <c r="G58" s="380">
        <f>IF(_6004Checklist_Section_5[[#This Row],[Response]]="I disagree",1,0)</f>
        <v>0</v>
      </c>
      <c r="H58" s="380"/>
      <c r="I58" s="380"/>
    </row>
    <row r="59" spans="1:9" ht="30" customHeight="1" x14ac:dyDescent="0.2">
      <c r="A59" s="397" t="s">
        <v>289</v>
      </c>
      <c r="B59" s="392" t="s">
        <v>290</v>
      </c>
      <c r="C59" s="335"/>
      <c r="D59" s="339" t="str">
        <f>IF(C59="No","This project does not meet the requirements of the Standard Permit.","N/A")</f>
        <v>N/A</v>
      </c>
      <c r="E59" s="307"/>
      <c r="G59" s="380">
        <f>IF(_6004Checklist_Section_5[[#This Row],[Response]]="no",1,0)</f>
        <v>0</v>
      </c>
      <c r="H59" s="380"/>
      <c r="I59" s="380"/>
    </row>
    <row r="60" spans="1:9" ht="30" customHeight="1" x14ac:dyDescent="0.2">
      <c r="A60" s="397" t="s">
        <v>291</v>
      </c>
      <c r="B60" s="392" t="s">
        <v>292</v>
      </c>
      <c r="C60" s="351" t="s">
        <v>293</v>
      </c>
      <c r="D60" s="339" t="str">
        <f>IF(C60="no","This project does not meet the requirements of the Standard Permit.","N/A")</f>
        <v>N/A</v>
      </c>
      <c r="E60" s="307"/>
      <c r="G60" s="380">
        <f>IF(_6004Checklist_Section_5[[#This Row],[Response]]="no",1,0)</f>
        <v>0</v>
      </c>
      <c r="H60" s="380">
        <f>IF(COUNTIF($A$23,"*temporary*")&gt;0,1,0)</f>
        <v>0</v>
      </c>
      <c r="I60" s="380"/>
    </row>
    <row r="61" spans="1:9" ht="30" customHeight="1" x14ac:dyDescent="0.2">
      <c r="A61" s="341" t="s">
        <v>294</v>
      </c>
      <c r="B61" s="393" t="s">
        <v>295</v>
      </c>
      <c r="C61" s="213"/>
      <c r="D61" s="339" t="str">
        <f t="shared" ref="D61:D68" si="0">IF(C61="no","This project does not meet the requirements of the Standard Permit.","N/A")</f>
        <v>N/A</v>
      </c>
      <c r="E61" s="307"/>
      <c r="G61" s="380">
        <f>IF(_6004Checklist_Section_5[[#This Row],[Response]]="no",1,0)</f>
        <v>0</v>
      </c>
      <c r="H61" s="380"/>
      <c r="I61" s="380"/>
    </row>
    <row r="62" spans="1:9" ht="30" customHeight="1" x14ac:dyDescent="0.2">
      <c r="A62" s="341" t="s">
        <v>294</v>
      </c>
      <c r="B62" s="393" t="s">
        <v>296</v>
      </c>
      <c r="C62" s="213"/>
      <c r="D62" s="339" t="str">
        <f t="shared" si="0"/>
        <v>N/A</v>
      </c>
      <c r="E62" s="307"/>
      <c r="G62" s="380">
        <f>IF(_6004Checklist_Section_5[[#This Row],[Response]]="no",1,0)</f>
        <v>0</v>
      </c>
      <c r="H62" s="380"/>
      <c r="I62" s="380"/>
    </row>
    <row r="63" spans="1:9" ht="14.25" x14ac:dyDescent="0.2">
      <c r="A63" s="341" t="s">
        <v>294</v>
      </c>
      <c r="B63" s="394" t="s">
        <v>297</v>
      </c>
      <c r="C63" s="213"/>
      <c r="D63" s="339" t="str">
        <f t="shared" si="0"/>
        <v>N/A</v>
      </c>
      <c r="E63" s="307"/>
      <c r="G63" s="380">
        <f>IF(_6004Checklist_Section_5[[#This Row],[Response]]="no",1,0)</f>
        <v>0</v>
      </c>
      <c r="H63" s="380"/>
      <c r="I63" s="380"/>
    </row>
    <row r="64" spans="1:9" ht="28.5" x14ac:dyDescent="0.2">
      <c r="A64" s="341" t="s">
        <v>294</v>
      </c>
      <c r="B64" s="394" t="s">
        <v>298</v>
      </c>
      <c r="C64" s="213"/>
      <c r="D64" s="339" t="str">
        <f t="shared" si="0"/>
        <v>N/A</v>
      </c>
      <c r="E64" s="307"/>
      <c r="G64" s="380">
        <f>IF(_6004Checklist_Section_5[[#This Row],[Response]]="no",1,0)</f>
        <v>0</v>
      </c>
      <c r="H64" s="380"/>
      <c r="I64" s="380"/>
    </row>
    <row r="65" spans="1:10" ht="28.5" x14ac:dyDescent="0.2">
      <c r="A65" s="341" t="s">
        <v>294</v>
      </c>
      <c r="B65" s="394" t="s">
        <v>299</v>
      </c>
      <c r="C65" s="213"/>
      <c r="D65" s="339" t="str">
        <f t="shared" si="0"/>
        <v>N/A</v>
      </c>
      <c r="E65" s="307"/>
      <c r="G65" s="380">
        <f>IF(_6004Checklist_Section_5[[#This Row],[Response]]="no",1,0)</f>
        <v>0</v>
      </c>
      <c r="H65" s="380"/>
      <c r="I65" s="380"/>
    </row>
    <row r="66" spans="1:10" ht="42.75" x14ac:dyDescent="0.2">
      <c r="A66" s="539" t="s">
        <v>294</v>
      </c>
      <c r="B66" s="394" t="s">
        <v>300</v>
      </c>
      <c r="C66" s="213"/>
      <c r="D66" s="339" t="str">
        <f t="shared" si="0"/>
        <v>N/A</v>
      </c>
      <c r="E66" s="307"/>
      <c r="G66" s="380">
        <f>IF(_6004Checklist_Section_5[[#This Row],[Response]]="no",1,0)</f>
        <v>0</v>
      </c>
      <c r="H66" s="380"/>
      <c r="I66" s="380"/>
    </row>
    <row r="67" spans="1:10" ht="42.75" x14ac:dyDescent="0.2">
      <c r="A67" s="340" t="s">
        <v>294</v>
      </c>
      <c r="B67" s="394" t="s">
        <v>301</v>
      </c>
      <c r="C67" s="213"/>
      <c r="D67" s="339" t="str">
        <f t="shared" si="0"/>
        <v>N/A</v>
      </c>
      <c r="E67" s="307"/>
      <c r="G67" s="380">
        <f>IF(_6004Checklist_Section_5[[#This Row],[Response]]="no",1,0)</f>
        <v>0</v>
      </c>
      <c r="H67" s="380"/>
      <c r="I67" s="380"/>
    </row>
    <row r="68" spans="1:10" ht="30" customHeight="1" thickBot="1" x14ac:dyDescent="0.25">
      <c r="A68" s="516" t="s">
        <v>302</v>
      </c>
      <c r="B68" s="400" t="s">
        <v>303</v>
      </c>
      <c r="C68" s="517"/>
      <c r="D68" s="364" t="str">
        <f t="shared" si="0"/>
        <v>N/A</v>
      </c>
      <c r="E68" s="307"/>
      <c r="G68" s="380">
        <f>IF(_6004Checklist_Section_5[[#This Row],[Response]]="no",1,0)</f>
        <v>0</v>
      </c>
      <c r="H68" s="380"/>
      <c r="I68" s="380"/>
    </row>
    <row r="69" spans="1:10" ht="15.75" customHeight="1" thickBot="1" x14ac:dyDescent="0.25">
      <c r="A69" s="727"/>
      <c r="B69" s="727"/>
      <c r="C69" s="727"/>
      <c r="D69" s="728"/>
      <c r="E69" s="26"/>
      <c r="G69" s="380"/>
      <c r="H69" s="380"/>
      <c r="I69" s="380"/>
    </row>
    <row r="70" spans="1:10" ht="18" customHeight="1" x14ac:dyDescent="0.2">
      <c r="A70" s="712" t="s">
        <v>304</v>
      </c>
      <c r="B70" s="713"/>
      <c r="C70" s="713"/>
      <c r="D70" s="714"/>
      <c r="E70" s="26"/>
      <c r="G70" s="380"/>
      <c r="H70" s="380"/>
      <c r="I70" s="380"/>
    </row>
    <row r="71" spans="1:10" ht="15.75" thickBot="1" x14ac:dyDescent="0.25">
      <c r="A71" s="336" t="s">
        <v>222</v>
      </c>
      <c r="B71" s="112" t="s">
        <v>223</v>
      </c>
      <c r="C71" s="367" t="s">
        <v>71</v>
      </c>
      <c r="D71" s="368" t="s">
        <v>224</v>
      </c>
      <c r="E71" s="307"/>
      <c r="F71" s="217"/>
      <c r="G71" s="382" t="s">
        <v>48</v>
      </c>
      <c r="H71" s="382" t="s">
        <v>49</v>
      </c>
      <c r="I71" s="382" t="s">
        <v>50</v>
      </c>
      <c r="J71"/>
    </row>
    <row r="72" spans="1:10" ht="30" customHeight="1" x14ac:dyDescent="0.2">
      <c r="A72" s="541" t="s">
        <v>305</v>
      </c>
      <c r="B72" s="86" t="s">
        <v>306</v>
      </c>
      <c r="C72" s="358"/>
      <c r="D72" s="337" t="s">
        <v>307</v>
      </c>
      <c r="E72" s="26"/>
      <c r="G72" s="380"/>
      <c r="H72" s="380">
        <f>IF($C$83="yes",1,0)</f>
        <v>0</v>
      </c>
      <c r="I72" s="380"/>
    </row>
    <row r="73" spans="1:10" ht="64.5" customHeight="1" x14ac:dyDescent="0.2">
      <c r="A73" s="340" t="s">
        <v>305</v>
      </c>
      <c r="B73" s="28" t="s">
        <v>308</v>
      </c>
      <c r="C73" s="213"/>
      <c r="D73" s="337" t="str">
        <f>IF(C73="no","This project does not meet the requirements of the Standard Permit.","N/A")</f>
        <v>N/A</v>
      </c>
      <c r="E73" s="26"/>
      <c r="G73" s="380">
        <f>IF(_6004Checklist_Section_6[[#This Row],[Response]]="no",1,0)</f>
        <v>0</v>
      </c>
      <c r="H73" s="380">
        <f>(IF(C72="no",1,IF($C$83="yes",1,0)))</f>
        <v>0</v>
      </c>
      <c r="I73" s="380"/>
    </row>
    <row r="74" spans="1:10" ht="28.5" x14ac:dyDescent="0.2">
      <c r="A74" s="397" t="s">
        <v>309</v>
      </c>
      <c r="B74" s="28" t="s">
        <v>292</v>
      </c>
      <c r="C74" s="351" t="s">
        <v>293</v>
      </c>
      <c r="D74" s="337" t="s">
        <v>232</v>
      </c>
      <c r="E74" s="26"/>
      <c r="G74" s="380"/>
      <c r="H74" s="380">
        <f>IF($C$83="yes",1,0)</f>
        <v>0</v>
      </c>
      <c r="I74" s="380"/>
    </row>
    <row r="75" spans="1:10" ht="47.25" customHeight="1" x14ac:dyDescent="0.2">
      <c r="A75" s="341" t="s">
        <v>309</v>
      </c>
      <c r="B75" s="28" t="s">
        <v>310</v>
      </c>
      <c r="C75" s="335"/>
      <c r="D75" s="338" t="s">
        <v>232</v>
      </c>
      <c r="E75" s="26"/>
      <c r="G75" s="380"/>
      <c r="H75" s="380">
        <f>IF($C$83="yes",1,IF(ISBLANK($C$72),0,IF(OR($C$72=0,$C$72=1),1,0)))</f>
        <v>0</v>
      </c>
      <c r="I75" s="380"/>
    </row>
    <row r="76" spans="1:10" ht="42.75" x14ac:dyDescent="0.2">
      <c r="A76" s="341" t="s">
        <v>309</v>
      </c>
      <c r="B76" s="28" t="s">
        <v>311</v>
      </c>
      <c r="C76" s="335"/>
      <c r="D76" s="339" t="s">
        <v>232</v>
      </c>
      <c r="E76" s="26"/>
      <c r="G76" s="380"/>
      <c r="H76" s="380">
        <f>IF($C$83="yes",1,0)</f>
        <v>0</v>
      </c>
      <c r="I76" s="380"/>
    </row>
    <row r="77" spans="1:10" ht="28.5" x14ac:dyDescent="0.2">
      <c r="A77" s="341" t="s">
        <v>309</v>
      </c>
      <c r="B77" s="28" t="s">
        <v>312</v>
      </c>
      <c r="C77" s="213"/>
      <c r="D77" s="339" t="s">
        <v>232</v>
      </c>
      <c r="E77" s="26"/>
      <c r="G77" s="380"/>
      <c r="H77" s="380">
        <f t="shared" ref="H77:H79" si="1">IF($C$83="yes",1,0)</f>
        <v>0</v>
      </c>
      <c r="I77" s="380"/>
    </row>
    <row r="78" spans="1:10" ht="31.5" customHeight="1" x14ac:dyDescent="0.2">
      <c r="A78" s="340" t="s">
        <v>309</v>
      </c>
      <c r="B78" s="28" t="s">
        <v>1283</v>
      </c>
      <c r="C78" s="213"/>
      <c r="D78" s="339" t="s">
        <v>313</v>
      </c>
      <c r="E78" s="26"/>
      <c r="G78" s="380"/>
      <c r="H78" s="380">
        <f t="shared" si="1"/>
        <v>0</v>
      </c>
      <c r="I78" s="380"/>
    </row>
    <row r="79" spans="1:10" ht="29.25" customHeight="1" x14ac:dyDescent="0.2">
      <c r="A79" s="540" t="s">
        <v>314</v>
      </c>
      <c r="B79" s="28" t="s">
        <v>315</v>
      </c>
      <c r="C79" s="213"/>
      <c r="D79" s="339" t="str">
        <f>IF(AND(C79="no",C6="Permanent"),"This project does not meet the requirements of the Standard Permit.","N/A")</f>
        <v>N/A</v>
      </c>
      <c r="E79" s="26"/>
      <c r="G79" s="380">
        <f>IF(AND(_6004Checklist_Section_6[[#This Row],[Response]]="no",C6="Permanent"),1,0)</f>
        <v>0</v>
      </c>
      <c r="H79" s="380">
        <f t="shared" si="1"/>
        <v>0</v>
      </c>
      <c r="I79" s="380"/>
    </row>
    <row r="80" spans="1:10" ht="45" customHeight="1" x14ac:dyDescent="0.2">
      <c r="A80" s="245" t="s">
        <v>316</v>
      </c>
      <c r="B80" s="118" t="str">
        <f>IF(C72=1,"Will fuel for the engine be liquid fuel with a maximum sulfur content of no more than 0.0015 percent by weight and not consist of a blend containing waste oils or solvents?","Will fuel for the engines be liquid fuel with a maximum sulfur content of no more than 0.0015 percent by weight and not consist of a blend containing waste oils or solvents?")</f>
        <v>Will fuel for the engines be liquid fuel with a maximum sulfur content of no more than 0.0015 percent by weight and not consist of a blend containing waste oils or solvents?</v>
      </c>
      <c r="C80" s="375"/>
      <c r="D80" s="339" t="str">
        <f>IF(C80="no","This project does not meet the requirements of the Standard Permit.","N/A")</f>
        <v>N/A</v>
      </c>
      <c r="E80" s="26"/>
      <c r="F80" t="s">
        <v>317</v>
      </c>
      <c r="G80" s="380">
        <f>IF(_6004Checklist_Section_6[[#This Row],[Response]]="no",1,0)</f>
        <v>0</v>
      </c>
      <c r="H80" s="380">
        <f>IF($C$83="yes",1,IF(ISBLANK($C$72),0,IF($C$72=0,1,0)))</f>
        <v>0</v>
      </c>
      <c r="I80" s="380"/>
    </row>
    <row r="81" spans="1:11" ht="49.5" customHeight="1" x14ac:dyDescent="0.2">
      <c r="A81" s="397" t="s">
        <v>318</v>
      </c>
      <c r="B81" s="545" t="s">
        <v>319</v>
      </c>
      <c r="C81" s="335"/>
      <c r="D81" s="339" t="str">
        <f>IF(C81="I disagree","This project does not meet the requirements of the Standard Permit.","Attach supporting documentation.")</f>
        <v>Attach supporting documentation.</v>
      </c>
      <c r="E81" s="307"/>
      <c r="G81" s="380">
        <f>IF(_6004Checklist_Section_6[[#This Row],[Response]]="I disagree",1,0)</f>
        <v>0</v>
      </c>
      <c r="H81" s="380">
        <f>IF($C$83="yes",1,IF(ISBLANK($C$72),0,IF($C$72=0,1,0)))</f>
        <v>0</v>
      </c>
      <c r="I81" s="380"/>
    </row>
    <row r="82" spans="1:11" ht="30" customHeight="1" x14ac:dyDescent="0.2">
      <c r="A82" s="340" t="s">
        <v>318</v>
      </c>
      <c r="B82" s="393" t="s">
        <v>320</v>
      </c>
      <c r="C82" s="335"/>
      <c r="D82" s="339" t="str">
        <f>IF(C82="no","This project does not meet the requirements of the Standard Permit.","N/A")</f>
        <v>N/A</v>
      </c>
      <c r="E82" s="307"/>
      <c r="G82" s="380">
        <f>IF(_6004Checklist_Section_6[[#This Row],[Response]]="no",1,0)</f>
        <v>0</v>
      </c>
      <c r="H82" s="380">
        <f>IF($C$83="yes",1,IF(ISBLANK($C$72),0,IF($C$72=0,1,0)))</f>
        <v>0</v>
      </c>
      <c r="I82" s="380"/>
    </row>
    <row r="83" spans="1:11" ht="46.5" customHeight="1" x14ac:dyDescent="0.2">
      <c r="A83" s="397" t="s">
        <v>321</v>
      </c>
      <c r="B83" s="542" t="s">
        <v>322</v>
      </c>
      <c r="C83" s="573" t="str">
        <f>IF(C9="yes","No",IF(C9="No","Yes",""))</f>
        <v/>
      </c>
      <c r="D83" s="339" t="str">
        <f>IF(C83="no","This project may not meet the requirements of the Standard Permit.","There are no restrictions to engine operations if the engines will be on-site for less than 12 consecutive months.")</f>
        <v>There are no restrictions to engine operations if the engines will be on-site for less than 12 consecutive months.</v>
      </c>
      <c r="E83" s="307"/>
      <c r="G83" s="380"/>
      <c r="H83" s="380">
        <f>IF(ISBLANK($C$72),0,IF($C$72=0,1,0))</f>
        <v>0</v>
      </c>
      <c r="I83" s="380"/>
    </row>
    <row r="84" spans="1:11" ht="52.5" customHeight="1" x14ac:dyDescent="0.2">
      <c r="A84" s="543" t="s">
        <v>321</v>
      </c>
      <c r="B84" s="400" t="s">
        <v>323</v>
      </c>
      <c r="C84" s="556">
        <f>C73</f>
        <v>0</v>
      </c>
      <c r="D84" s="364" t="str">
        <f>IF(C84="no","This project does not meet the requirements of the Standard Permit.","N/A")</f>
        <v>N/A</v>
      </c>
      <c r="E84" s="443"/>
      <c r="G84" s="380">
        <f>IF(_6004Checklist_Section_6[[#This Row],[Response]]="no",1,0)</f>
        <v>0</v>
      </c>
      <c r="H84" s="380">
        <f>IF(C83="Yes",1,IF(ISBLANK($C$72),0,IF($C$72=0,1,IF($C$83="yes",1,0))))</f>
        <v>0</v>
      </c>
      <c r="I84" s="380"/>
    </row>
    <row r="85" spans="1:11" ht="15" customHeight="1" thickBot="1" x14ac:dyDescent="0.25">
      <c r="A85" s="727"/>
      <c r="B85" s="727"/>
      <c r="C85" s="727"/>
      <c r="D85" s="727"/>
      <c r="E85" s="20"/>
      <c r="G85" s="380"/>
      <c r="H85" s="380"/>
      <c r="I85" s="380"/>
    </row>
    <row r="86" spans="1:11" ht="18" customHeight="1" thickBot="1" x14ac:dyDescent="0.25">
      <c r="A86" s="712" t="s">
        <v>324</v>
      </c>
      <c r="B86" s="713"/>
      <c r="C86" s="713"/>
      <c r="D86" s="714"/>
      <c r="E86" s="26"/>
      <c r="G86" s="380"/>
      <c r="H86" s="380"/>
      <c r="I86" s="380"/>
    </row>
    <row r="87" spans="1:11" ht="15.75" thickBot="1" x14ac:dyDescent="0.25">
      <c r="A87" s="336" t="s">
        <v>222</v>
      </c>
      <c r="B87" s="112" t="s">
        <v>223</v>
      </c>
      <c r="C87" s="367" t="s">
        <v>71</v>
      </c>
      <c r="D87" s="368" t="s">
        <v>224</v>
      </c>
      <c r="E87" s="411"/>
      <c r="F87" s="547"/>
      <c r="G87" s="383"/>
      <c r="H87" s="88"/>
      <c r="I87" s="343"/>
      <c r="J87"/>
    </row>
    <row r="88" spans="1:11" ht="43.5" thickBot="1" x14ac:dyDescent="0.25">
      <c r="A88" s="510" t="s">
        <v>325</v>
      </c>
      <c r="B88" s="511" t="s">
        <v>326</v>
      </c>
      <c r="C88" s="512"/>
      <c r="D88" s="513" t="str">
        <f>IF(C88="no","This project does not meet the requirements of the Standard Permit.","N/A")</f>
        <v>N/A</v>
      </c>
      <c r="E88" s="26"/>
      <c r="G88" s="380">
        <f>IF(_6004Checklist_Section_7[[#This Row],[Response]]="no",1,0)</f>
        <v>0</v>
      </c>
      <c r="H88" s="380"/>
      <c r="I88" s="380"/>
    </row>
    <row r="89" spans="1:11" ht="15.75" customHeight="1" thickBot="1" x14ac:dyDescent="0.25">
      <c r="A89" s="735"/>
      <c r="B89" s="735"/>
      <c r="C89" s="735"/>
      <c r="D89" s="736"/>
      <c r="E89" s="26"/>
      <c r="G89" s="380"/>
      <c r="H89" s="380"/>
      <c r="I89" s="380"/>
    </row>
    <row r="90" spans="1:11" ht="18" customHeight="1" x14ac:dyDescent="0.2">
      <c r="A90" s="721" t="s">
        <v>327</v>
      </c>
      <c r="B90" s="722"/>
      <c r="C90" s="722"/>
      <c r="D90" s="723"/>
      <c r="E90" s="232"/>
      <c r="F90" s="554" t="s">
        <v>328</v>
      </c>
      <c r="G90" s="380"/>
      <c r="H90" s="115">
        <f>IF('PI-1S-CBP'!B110="Specialty",1,0)</f>
        <v>0</v>
      </c>
      <c r="I90" s="380"/>
    </row>
    <row r="91" spans="1:11" ht="15.75" thickBot="1" x14ac:dyDescent="0.25">
      <c r="A91" s="336" t="s">
        <v>222</v>
      </c>
      <c r="B91" s="112" t="s">
        <v>223</v>
      </c>
      <c r="C91" s="367" t="s">
        <v>71</v>
      </c>
      <c r="D91" s="368" t="s">
        <v>224</v>
      </c>
      <c r="E91" s="26"/>
      <c r="F91" s="383"/>
      <c r="G91" s="88"/>
      <c r="H91" s="115">
        <f>IF('PI-1S-CBP'!B110="Specialty",1,0)</f>
        <v>0</v>
      </c>
      <c r="I91" s="343"/>
      <c r="J91"/>
    </row>
    <row r="92" spans="1:11" ht="57.75" thickBot="1" x14ac:dyDescent="0.25">
      <c r="A92" s="401" t="s">
        <v>329</v>
      </c>
      <c r="B92" s="394" t="s">
        <v>330</v>
      </c>
      <c r="C92" s="335"/>
      <c r="D92" s="349" t="str">
        <f>IF(C92="no","This project does not meet the requirements of the Standard Permit.","N/A")</f>
        <v>N/A</v>
      </c>
      <c r="E92" s="26"/>
      <c r="F92" s="547"/>
      <c r="G92" s="412">
        <f>IF('6004Checklist'!$C92="no",1,0)</f>
        <v>0</v>
      </c>
      <c r="H92" s="115">
        <f>IF(OR('PI-1S-CBP'!B110="Specialty",C$7="Central Mix",C$56="yes",$C$109="Yes",C104="yes"),1,0)</f>
        <v>0</v>
      </c>
      <c r="I92" s="343"/>
      <c r="J92" t="s">
        <v>331</v>
      </c>
    </row>
    <row r="93" spans="1:11" ht="30.75" x14ac:dyDescent="0.2">
      <c r="A93" s="48" t="s">
        <v>329</v>
      </c>
      <c r="B93" s="394" t="s">
        <v>332</v>
      </c>
      <c r="C93" s="213"/>
      <c r="D93" s="360" t="str">
        <f>IF(J93&lt;&gt;"", "Production rates must be no more than the 200 yd3/hour limit.", "N/A")</f>
        <v>N/A</v>
      </c>
      <c r="E93" s="26"/>
      <c r="F93" s="43"/>
      <c r="G93" s="115">
        <f>IF(ISBLANK(_6004Checklist_Section_8[[#This Row],[Response]]),0,IF(C93&gt;J93, 1, 0))</f>
        <v>0</v>
      </c>
      <c r="H93" s="115">
        <f>IF(OR('PI-1S-CBP'!B110="Specialty",C$7="Central Mix",C$56="yes",$C$109="Yes",C104="yes"),1,0)</f>
        <v>0</v>
      </c>
      <c r="I93" s="343"/>
      <c r="J93" t="str">
        <f>IF(ISBLANK('PI-1S-CBP'!$B$97),"",200)</f>
        <v/>
      </c>
      <c r="K93" s="19">
        <f>IF(C93&gt;J93, 1, 0)</f>
        <v>0</v>
      </c>
    </row>
    <row r="94" spans="1:11" ht="28.5" x14ac:dyDescent="0.2">
      <c r="A94" s="361" t="s">
        <v>329</v>
      </c>
      <c r="B94" s="394" t="s">
        <v>333</v>
      </c>
      <c r="C94" s="213"/>
      <c r="D94" s="360" t="str">
        <f>IF(J94&lt;&gt;"", "Setback distances should be a minimum of "&amp;J94&amp;" ft.", "N/A")</f>
        <v>N/A</v>
      </c>
      <c r="E94" s="26"/>
      <c r="F94" s="43"/>
      <c r="G94" s="115">
        <f>IF(ISBLANK(_6004Checklist_Section_8[[#This Row],[Response]]),0,IF(C94&lt;J94, 1, 0))</f>
        <v>0</v>
      </c>
      <c r="H94" s="115">
        <f>IF(OR('PI-1S-CBP'!B110="Specialty",C$7="Central Mix",C$56="yes",$C$109="Yes",C104="yes"),1,0)</f>
        <v>0</v>
      </c>
      <c r="I94" s="343"/>
      <c r="J94" t="str">
        <f>IF(ISBLANK('PI-1S-CBP'!B97),"",INDEX(Reference!$C$16:$C$269,MATCH('PI-1S-CBP'!B97,Counties,0)))</f>
        <v/>
      </c>
      <c r="K94" s="19">
        <f>IF(C94&gt;J94, 1, 0)</f>
        <v>0</v>
      </c>
    </row>
    <row r="95" spans="1:11" ht="45" customHeight="1" x14ac:dyDescent="0.2">
      <c r="A95" s="406" t="s">
        <v>334</v>
      </c>
      <c r="B95" s="402" t="s">
        <v>335</v>
      </c>
      <c r="C95" s="358"/>
      <c r="D95" s="360" t="str">
        <f>IF(C95="no","This project does not meet the requirements of the Standard Permit.","N/A")</f>
        <v>N/A</v>
      </c>
      <c r="E95" s="26"/>
      <c r="F95" s="43"/>
      <c r="G95" s="380">
        <f>IF('6004Checklist'!$C95="no",1,0)</f>
        <v>0</v>
      </c>
      <c r="H95" s="115">
        <f>IF(OR('PI-1S-CBP'!B110="Specialty",C$7="Central Mix",C$56="yes",$C$8="no",C104="yes"),1,0)</f>
        <v>0</v>
      </c>
      <c r="I95" s="343"/>
      <c r="J95"/>
    </row>
    <row r="96" spans="1:11" ht="45" x14ac:dyDescent="0.2">
      <c r="A96" s="48" t="s">
        <v>334</v>
      </c>
      <c r="B96" s="544" t="s">
        <v>336</v>
      </c>
      <c r="C96" s="213"/>
      <c r="D96" s="360" t="str">
        <f>IF(K96=1, "Production Rates should be a maximum of "&amp; J96&amp;" yd3/hr limit.", "N/A")</f>
        <v>N/A</v>
      </c>
      <c r="E96" s="26"/>
      <c r="F96" s="43"/>
      <c r="G96" s="115">
        <f>IF(C96&gt;J96, 1, 0)</f>
        <v>0</v>
      </c>
      <c r="H96" s="115">
        <f>IF(OR('PI-1S-CBP'!B110="Specialty",C$7="Central Mix",C$56="yes",$C$8="no",C104="yes"),1,0)</f>
        <v>0</v>
      </c>
      <c r="I96" s="343"/>
      <c r="J96">
        <v>200</v>
      </c>
      <c r="K96" s="19">
        <f>IF(C96&gt;J96, 1, 0)</f>
        <v>0</v>
      </c>
    </row>
    <row r="97" spans="1:11" ht="45" customHeight="1" x14ac:dyDescent="0.2">
      <c r="A97" s="48" t="s">
        <v>334</v>
      </c>
      <c r="B97" s="403" t="s">
        <v>337</v>
      </c>
      <c r="C97" s="335"/>
      <c r="D97" s="362" t="str">
        <f>IF(K97=1, "Setback Distances Setback distances should be a minimum of "&amp;J97&amp;" ft.", "N/A")</f>
        <v>N/A</v>
      </c>
      <c r="E97" s="26"/>
      <c r="F97" s="43"/>
      <c r="G97" s="115">
        <f>IF(ISBLANK(_6004Checklist_Section_8[[#This Row],[Response]]),0,IF(C97&lt;J97, 1, 0))</f>
        <v>0</v>
      </c>
      <c r="H97" s="115">
        <f>IF(OR('PI-1S-CBP'!B110="Specialty",C$7="Central Mix",C$56="yes",$C$8="no",C104="yes"),1,0)</f>
        <v>0</v>
      </c>
      <c r="I97" s="343"/>
      <c r="J97" t="str">
        <f>IF(ISBLANK('PI-1S-CBP'!B97),"",INDEX(Reference!$C$16:$C$269,MATCH('PI-1S-CBP'!B97,Counties,0)))</f>
        <v/>
      </c>
      <c r="K97" s="19">
        <f>IF(C97&lt;J97, 1, 0)</f>
        <v>0</v>
      </c>
    </row>
    <row r="98" spans="1:11" ht="43.5" customHeight="1" x14ac:dyDescent="0.2">
      <c r="A98" s="401" t="s">
        <v>338</v>
      </c>
      <c r="B98" s="394" t="s">
        <v>339</v>
      </c>
      <c r="C98" s="358"/>
      <c r="D98" s="363" t="s">
        <v>232</v>
      </c>
      <c r="E98" s="26"/>
      <c r="F98" s="43"/>
      <c r="G98" s="380">
        <f>IF('6004Checklist'!$C98="no",1,0)</f>
        <v>0</v>
      </c>
      <c r="H98" s="115">
        <f>IF(OR('PI-1S-CBP'!B110="Specialty",C$7="Central Mix",C$56="no",C104="yes"),1,0)</f>
        <v>0</v>
      </c>
      <c r="I98" s="343"/>
      <c r="J98"/>
    </row>
    <row r="99" spans="1:11" ht="30.75" x14ac:dyDescent="0.2">
      <c r="A99" s="48" t="s">
        <v>338</v>
      </c>
      <c r="B99" s="544" t="s">
        <v>1254</v>
      </c>
      <c r="C99" s="213"/>
      <c r="D99" s="360" t="str">
        <f>IF(K99=1, "Production Rates should be a maximum of  "&amp; J99&amp;" yd3/hr limit.", "N/A")</f>
        <v>N/A</v>
      </c>
      <c r="E99" s="26"/>
      <c r="F99" s="43"/>
      <c r="G99" s="115">
        <f>IF(C99&gt;J99, 1, 0)</f>
        <v>0</v>
      </c>
      <c r="H99" s="115">
        <f>IF(OR('PI-1S-CBP'!B110="Specialty",C$7="Central Mix",C$56="no",C104="yes"),1,0)</f>
        <v>0</v>
      </c>
      <c r="I99" s="343"/>
      <c r="J99" s="355">
        <v>300</v>
      </c>
      <c r="K99" s="19">
        <f>IF(C99&gt;J99, 1, 0)</f>
        <v>0</v>
      </c>
    </row>
    <row r="100" spans="1:11" ht="30" customHeight="1" x14ac:dyDescent="0.2">
      <c r="A100" s="361" t="s">
        <v>338</v>
      </c>
      <c r="B100" s="394" t="s">
        <v>1255</v>
      </c>
      <c r="C100" s="213"/>
      <c r="D100" s="360" t="str">
        <f>IF(K100=1, "Setback Distances Setback distances should be a minimum of "&amp;J100&amp;" ft.", "N/A")</f>
        <v>N/A</v>
      </c>
      <c r="E100" s="26"/>
      <c r="F100" s="43"/>
      <c r="G100" s="380">
        <f>IF(ISBLANK(_6004Checklist_Section_8[[#This Row],[Response]]),0,IF(C100&lt;J100, 1, 0))</f>
        <v>0</v>
      </c>
      <c r="H100" s="115">
        <f>IF(OR('PI-1S-CBP'!B110="Specialty",C$7="Central Mix",C$56="no",C104="yes"),1,0)</f>
        <v>0</v>
      </c>
      <c r="I100" s="343"/>
      <c r="J100" s="355" t="str">
        <f>IF(ISBLANK('PI-1S-CBP'!B97),"",INDEX(Reference!$E$16:$E$269,MATCH('PI-1S-CBP'!B97,Counties,0)))</f>
        <v/>
      </c>
      <c r="K100" s="19">
        <f>IF(C100&lt;J100, 1, 0)</f>
        <v>0</v>
      </c>
    </row>
    <row r="101" spans="1:11" ht="42.75" x14ac:dyDescent="0.2">
      <c r="A101" s="406" t="s">
        <v>340</v>
      </c>
      <c r="B101" s="402" t="s">
        <v>341</v>
      </c>
      <c r="C101" s="358"/>
      <c r="D101" s="360" t="s">
        <v>232</v>
      </c>
      <c r="E101" s="26"/>
      <c r="F101" s="43"/>
      <c r="G101" s="380">
        <f>IF('6004Checklist'!$C101="no",1,0)</f>
        <v>0</v>
      </c>
      <c r="H101" s="115">
        <f>IF(OR('PI-1S-CBP'!B110="Specialty",C$7="Truck Mix",C104="yes"),1,0)</f>
        <v>0</v>
      </c>
      <c r="I101" s="343"/>
      <c r="J101"/>
    </row>
    <row r="102" spans="1:11" ht="30" customHeight="1" x14ac:dyDescent="0.2">
      <c r="A102" s="48" t="s">
        <v>340</v>
      </c>
      <c r="B102" s="28" t="s">
        <v>1260</v>
      </c>
      <c r="C102" s="213"/>
      <c r="D102" s="360" t="str">
        <f>IF(K102=1, "Production Rates should be a maximum of  "&amp; J102&amp;" yd3/hr limit.", "N/A")</f>
        <v>N/A</v>
      </c>
      <c r="E102" s="26"/>
      <c r="F102" s="43"/>
      <c r="G102" s="115">
        <f>IF(C102&gt;J102, 1, 0)</f>
        <v>0</v>
      </c>
      <c r="H102" s="115">
        <f>IF(OR('PI-1S-CBP'!B110="Specialty",C$7="Truck Mix",C104="yes"),1,0)</f>
        <v>0</v>
      </c>
      <c r="I102" s="343"/>
      <c r="J102">
        <v>300</v>
      </c>
      <c r="K102" s="19">
        <f>IF(C102&gt;J102, 1, 0)</f>
        <v>0</v>
      </c>
    </row>
    <row r="103" spans="1:11" ht="29.25" customHeight="1" x14ac:dyDescent="0.2">
      <c r="A103" s="48" t="s">
        <v>340</v>
      </c>
      <c r="B103" s="403" t="s">
        <v>1256</v>
      </c>
      <c r="C103" s="576"/>
      <c r="D103" s="362" t="str">
        <f>IF(K103=1, "Setback Distances Setback distances should be a minimum of "&amp;J103&amp;" ft.", "N/A")</f>
        <v>N/A</v>
      </c>
      <c r="E103" s="26"/>
      <c r="F103" s="43"/>
      <c r="G103" s="380">
        <f>IF(ISBLANK(_6004Checklist_Section_8[[#This Row],[Response]]),0,IF(C103&lt;J103, 1, 0))</f>
        <v>0</v>
      </c>
      <c r="H103" s="115">
        <f>IF(OR('PI-1S-CBP'!B110="Specialty",C$7="Truck Mix",C104="yes"),1,0)</f>
        <v>0</v>
      </c>
      <c r="I103" s="343"/>
      <c r="J103" s="355" t="str">
        <f>IF(ISBLANK('PI-1S-CBP'!B97),"",INDEX(Reference!$F$16:$F$269,MATCH('PI-1S-CBP'!B97,Counties,0)))</f>
        <v/>
      </c>
      <c r="K103" s="19">
        <f>IF(C103&lt;J103, 1, 0)</f>
        <v>0</v>
      </c>
    </row>
    <row r="104" spans="1:11" ht="42.75" x14ac:dyDescent="0.2">
      <c r="A104" s="401" t="s">
        <v>342</v>
      </c>
      <c r="B104" s="394" t="s">
        <v>343</v>
      </c>
      <c r="C104" s="402" t="str">
        <f>IF(ISBLANK(C19),"",IF(AND(C6="Temporary",C19="yes"),"Yes","No"))</f>
        <v/>
      </c>
      <c r="D104" s="363" t="s">
        <v>232</v>
      </c>
      <c r="E104" s="26"/>
      <c r="F104" s="43"/>
      <c r="G104" s="380"/>
      <c r="H104" s="115">
        <f>IF(OR('PI-1S-CBP'!B110="permanent",'PI-1S-CBP'!B110="Specialty"),1,0)</f>
        <v>0</v>
      </c>
      <c r="I104" s="343"/>
      <c r="J104"/>
    </row>
    <row r="105" spans="1:11" ht="28.5" x14ac:dyDescent="0.2">
      <c r="A105" s="398"/>
      <c r="B105" s="394" t="s">
        <v>1261</v>
      </c>
      <c r="C105" s="213"/>
      <c r="D105" s="363" t="s">
        <v>1262</v>
      </c>
      <c r="E105" s="307"/>
      <c r="F105" s="43" t="s">
        <v>1257</v>
      </c>
      <c r="G105" s="380"/>
      <c r="H105" s="115">
        <f>IF(NOT(C104="yes"),1,0)</f>
        <v>1</v>
      </c>
      <c r="I105" s="343"/>
      <c r="J105"/>
    </row>
    <row r="106" spans="1:11" ht="50.25" customHeight="1" x14ac:dyDescent="0.2">
      <c r="A106" s="406" t="s">
        <v>344</v>
      </c>
      <c r="B106" s="402" t="s">
        <v>1259</v>
      </c>
      <c r="C106" s="376"/>
      <c r="D106" s="360" t="s">
        <v>345</v>
      </c>
      <c r="E106" s="26"/>
      <c r="F106" s="43"/>
      <c r="G106" s="380">
        <f>IF('6004Checklist'!$C106="no",1,0)</f>
        <v>0</v>
      </c>
      <c r="H106" s="115">
        <f>IF('PI-1S-CBP'!B110="Specialty",1,0)</f>
        <v>0</v>
      </c>
      <c r="I106" s="343"/>
      <c r="J106"/>
    </row>
    <row r="107" spans="1:11" ht="42.75" x14ac:dyDescent="0.2">
      <c r="A107" s="407" t="s">
        <v>346</v>
      </c>
      <c r="B107" s="394" t="s">
        <v>347</v>
      </c>
      <c r="C107" s="376"/>
      <c r="D107" s="360" t="s">
        <v>348</v>
      </c>
      <c r="E107" s="26"/>
      <c r="F107" s="43"/>
      <c r="G107" s="380">
        <f>IF('6004Checklist'!$C107="no",1,0)</f>
        <v>0</v>
      </c>
      <c r="H107" s="115">
        <f>IF('PI-1S-CBP'!B110="Specialty",1,0)</f>
        <v>0</v>
      </c>
      <c r="I107" s="343"/>
      <c r="J107"/>
    </row>
    <row r="108" spans="1:11" ht="60" customHeight="1" x14ac:dyDescent="0.2">
      <c r="A108" s="407" t="s">
        <v>349</v>
      </c>
      <c r="B108" s="404" t="s">
        <v>350</v>
      </c>
      <c r="C108" s="358"/>
      <c r="D108" s="360" t="str">
        <f>IF(C108="no","This project does not meet the requirements of the Standard Permit.","N/A")</f>
        <v>N/A</v>
      </c>
      <c r="E108" s="26"/>
      <c r="F108" s="43"/>
      <c r="G108" s="380">
        <f>IF('6004Checklist'!$C108="no",1,0)</f>
        <v>0</v>
      </c>
      <c r="H108" s="115">
        <f>IF(OR('PI-1S-CBP'!B110="Specialty",$C$104="yes", $C$101="yes", $C$7="Central Mix"),1,0)</f>
        <v>0</v>
      </c>
      <c r="I108" s="343"/>
      <c r="J108"/>
    </row>
    <row r="109" spans="1:11" ht="57" x14ac:dyDescent="0.2">
      <c r="A109" s="407" t="s">
        <v>351</v>
      </c>
      <c r="B109" s="404" t="s">
        <v>352</v>
      </c>
      <c r="C109" s="390">
        <f>C8</f>
        <v>0</v>
      </c>
      <c r="D109" s="360" t="s">
        <v>232</v>
      </c>
      <c r="E109" s="26"/>
      <c r="F109" s="43"/>
      <c r="G109" s="380"/>
      <c r="H109" s="115">
        <f>IF(OR('PI-1S-CBP'!B110="Specialty",$C$104="Yes", $C$7="Central Mix"),1,0)</f>
        <v>0</v>
      </c>
      <c r="I109" s="343"/>
      <c r="J109"/>
    </row>
    <row r="110" spans="1:11" ht="57" x14ac:dyDescent="0.2">
      <c r="A110" s="406" t="s">
        <v>353</v>
      </c>
      <c r="B110" s="394" t="s">
        <v>354</v>
      </c>
      <c r="C110" s="390" t="s">
        <v>293</v>
      </c>
      <c r="D110" s="360" t="str">
        <f>IF(C110="no","This project does not meet the requirements of the Standard Permit.","N/A")</f>
        <v>N/A</v>
      </c>
      <c r="E110" s="26"/>
      <c r="F110" s="43"/>
      <c r="G110" s="380">
        <f>IF('6004Checklist'!$C110="no",1,0)</f>
        <v>0</v>
      </c>
      <c r="H110" s="115">
        <f>IF(OR('PI-1S-CBP'!B110="Specialty",'PI-1S-CBP'!B110="temporary"),1,0)</f>
        <v>0</v>
      </c>
      <c r="I110" s="343"/>
      <c r="J110"/>
    </row>
    <row r="111" spans="1:11" ht="14.25" x14ac:dyDescent="0.2">
      <c r="A111" s="48" t="s">
        <v>353</v>
      </c>
      <c r="B111" s="394" t="s">
        <v>355</v>
      </c>
      <c r="C111" s="335"/>
      <c r="D111" s="360" t="s">
        <v>232</v>
      </c>
      <c r="E111" s="26"/>
      <c r="F111" s="43"/>
      <c r="G111" s="380">
        <f>IF(COUNTIF($C$111:$C$114,"no")=4,1,0)</f>
        <v>0</v>
      </c>
      <c r="H111" s="115">
        <f>IF(OR('PI-1S-CBP'!B110="Specialty",'PI-1S-CBP'!B110="temporary"),1,0)</f>
        <v>0</v>
      </c>
      <c r="I111" s="343"/>
      <c r="J111"/>
    </row>
    <row r="112" spans="1:11" ht="14.25" x14ac:dyDescent="0.2">
      <c r="A112" s="48" t="s">
        <v>353</v>
      </c>
      <c r="B112" s="394" t="s">
        <v>356</v>
      </c>
      <c r="C112" s="335"/>
      <c r="D112" s="360" t="s">
        <v>232</v>
      </c>
      <c r="E112" s="26"/>
      <c r="F112" s="43"/>
      <c r="G112" s="380">
        <f>IF(COUNTIF($C$111:$C$114,"no")=4,1,0)</f>
        <v>0</v>
      </c>
      <c r="H112" s="115">
        <f>IF(OR('PI-1S-CBP'!B110="Specialty",'PI-1S-CBP'!B110="temporary"),1,0)</f>
        <v>0</v>
      </c>
      <c r="I112" s="343"/>
      <c r="J112"/>
    </row>
    <row r="113" spans="1:10" ht="14.25" x14ac:dyDescent="0.2">
      <c r="A113" s="48" t="s">
        <v>353</v>
      </c>
      <c r="B113" s="394" t="s">
        <v>358</v>
      </c>
      <c r="C113" s="335"/>
      <c r="D113" s="360" t="s">
        <v>232</v>
      </c>
      <c r="E113" s="26"/>
      <c r="F113" s="43"/>
      <c r="G113" s="380">
        <f>IF(COUNTIF($C$111:$C$114,"no")=4,1,0)</f>
        <v>0</v>
      </c>
      <c r="H113" s="115">
        <f>IF(OR('PI-1S-CBP'!B110="Specialty",'PI-1S-CBP'!B110="temporary"),1,0)</f>
        <v>0</v>
      </c>
      <c r="I113" s="343"/>
      <c r="J113"/>
    </row>
    <row r="114" spans="1:10" ht="14.25" x14ac:dyDescent="0.2">
      <c r="A114" s="48" t="s">
        <v>353</v>
      </c>
      <c r="B114" s="394" t="s">
        <v>360</v>
      </c>
      <c r="C114" s="335"/>
      <c r="D114" s="360" t="s">
        <v>232</v>
      </c>
      <c r="E114" s="26"/>
      <c r="F114" s="43"/>
      <c r="G114" s="380">
        <f>IF(COUNTIF($C$111:$C$114,"no")=4,1,0)</f>
        <v>0</v>
      </c>
      <c r="H114" s="115">
        <f>IF(OR('PI-1S-CBP'!B110="Specialty",'PI-1S-CBP'!B110="temporary"),1,0)</f>
        <v>0</v>
      </c>
      <c r="I114" s="343"/>
      <c r="J114"/>
    </row>
    <row r="115" spans="1:10" ht="85.5" x14ac:dyDescent="0.2">
      <c r="A115" s="397" t="s">
        <v>362</v>
      </c>
      <c r="B115" s="394" t="s">
        <v>363</v>
      </c>
      <c r="C115" s="335"/>
      <c r="D115" s="360" t="str">
        <f>IF(_6004Checklist_Section_8[[#This Row],[Response]]="no","See applicable 8(I) and 8(J) requirements below.","Stationary Equipment excludes the suction shroud fabric/cartridge filter exhaust, drum feed fabric/cartridge filter exhaust, cement/fly ash storage silos, and engine.")</f>
        <v>Stationary Equipment excludes the suction shroud fabric/cartridge filter exhaust, drum feed fabric/cartridge filter exhaust, cement/fly ash storage silos, and engine.</v>
      </c>
      <c r="E115" s="524"/>
      <c r="F115" s="43"/>
      <c r="G115" s="384"/>
      <c r="H115" s="115">
        <f>IF('PI-1S-CBP'!$B$110="Specialty",1,0)</f>
        <v>0</v>
      </c>
      <c r="I115" s="343">
        <f>IF(_6004Checklist_Section_8[[#This Row],[Response]]="no",1,0)</f>
        <v>0</v>
      </c>
      <c r="J115"/>
    </row>
    <row r="116" spans="1:10" ht="30" customHeight="1" x14ac:dyDescent="0.2">
      <c r="A116" s="341" t="s">
        <v>362</v>
      </c>
      <c r="B116" s="394" t="s">
        <v>364</v>
      </c>
      <c r="C116" s="335"/>
      <c r="D116" s="360" t="str">
        <f>IF(G116=1, "This project does not meet the requirements of the Standard Permit.", "N/A")</f>
        <v>N/A</v>
      </c>
      <c r="E116" s="524"/>
      <c r="F116" s="43"/>
      <c r="G116" s="115">
        <f>IF(ISBLANK(_6004Checklist_Section_8[[#This Row],[Response]]),0,IF($C$116&lt;$J$116,1,0))</f>
        <v>0</v>
      </c>
      <c r="H116" s="115">
        <f>IF('PI-1S-CBP'!$B$110="Specialty",1,0)</f>
        <v>0</v>
      </c>
      <c r="I116" s="343"/>
      <c r="J116">
        <f>IF($J$94="",0,$J$94-50)</f>
        <v>0</v>
      </c>
    </row>
    <row r="117" spans="1:10" ht="30" customHeight="1" x14ac:dyDescent="0.2">
      <c r="A117" s="359" t="s">
        <v>362</v>
      </c>
      <c r="B117" s="394" t="s">
        <v>365</v>
      </c>
      <c r="C117" s="335"/>
      <c r="D117" s="360" t="str">
        <f>IF(I117=1, "Section 8(J) is required.", "N/A")</f>
        <v>N/A</v>
      </c>
      <c r="E117" s="524"/>
      <c r="F117" s="43"/>
      <c r="G117" s="115"/>
      <c r="H117" s="115">
        <f>IF('PI-1S-CBP'!$B$110="Specialty",1,0)</f>
        <v>0</v>
      </c>
      <c r="I117" s="115">
        <f>IF(ISBLANK(_6004Checklist_Section_8[[#This Row],[Response]]),0,IF($C$117&lt;$J$116,1,0))</f>
        <v>0</v>
      </c>
      <c r="J117"/>
    </row>
    <row r="118" spans="1:10" ht="30" customHeight="1" x14ac:dyDescent="0.2">
      <c r="A118" s="340" t="s">
        <v>362</v>
      </c>
      <c r="B118" s="394" t="s">
        <v>366</v>
      </c>
      <c r="C118" s="335"/>
      <c r="D118" s="360" t="str">
        <f>IF(I118=1, "Section 8(I)(i)-(ii) is required.", "N/A")</f>
        <v>N/A</v>
      </c>
      <c r="E118" s="524"/>
      <c r="F118" s="43"/>
      <c r="G118" s="115"/>
      <c r="H118" s="115">
        <f>IF('PI-1S-CBP'!$B$110="Specialty",1,0)</f>
        <v>0</v>
      </c>
      <c r="I118" s="115">
        <f>IF(ISBLANK(_6004Checklist_Section_8[[#This Row],[Response]]),0,IF($C$118&lt;$J$116,1,0))</f>
        <v>0</v>
      </c>
      <c r="J118"/>
    </row>
    <row r="119" spans="1:10" ht="75" customHeight="1" x14ac:dyDescent="0.2">
      <c r="A119" s="397" t="s">
        <v>367</v>
      </c>
      <c r="B119" s="394" t="s">
        <v>368</v>
      </c>
      <c r="C119" s="335"/>
      <c r="D119" s="360" t="str">
        <f>IF(AND(_6004Checklist_Section_8[[#This Row],[Response]]="No",C115="No"),"This project doest not meet the requirements of the Standard Permit",IF((OR(I117=1, I118=1)),"Input for Section 8(I)(i)-(ii) is required.","Input for Section 8(I)(i)-(ii) is optional if 8H is met."))</f>
        <v>Input for Section 8(I)(i)-(ii) is optional if 8H is met.</v>
      </c>
      <c r="E119" s="26"/>
      <c r="F119" s="43"/>
      <c r="G119" s="115">
        <f>IF(AND(_6004Checklist_Section_8[[#This Row],[Response]]="No",C115="No"),1,0)</f>
        <v>0</v>
      </c>
      <c r="H119" s="115">
        <f>IF('PI-1S-CBP'!$B$110="Specialty",1,0)</f>
        <v>0</v>
      </c>
      <c r="I119" s="343"/>
      <c r="J119"/>
    </row>
    <row r="120" spans="1:10" ht="31.5" customHeight="1" x14ac:dyDescent="0.2">
      <c r="A120" s="407" t="s">
        <v>369</v>
      </c>
      <c r="B120" s="394" t="str">
        <f>IF(C115="yes","Optional: ","")&amp;"Will the border be constructed to a height of at least 12 feet?"</f>
        <v>Will the border be constructed to a height of at least 12 feet?</v>
      </c>
      <c r="C120" s="335"/>
      <c r="D120" s="365" t="str">
        <f>IF($C$115="yes","This requirement is optional","This requirement is required.")</f>
        <v>This requirement is required.</v>
      </c>
      <c r="E120" s="525"/>
      <c r="F120" s="43"/>
      <c r="G120" s="115">
        <f>IF(AND(_6004Checklist_Section_8[[#This Row],[Response]]="no",$C$115="no"),1,0)</f>
        <v>0</v>
      </c>
      <c r="H120" s="115">
        <f>IF('PI-1S-CBP'!$B$110="Specialty",1,0)</f>
        <v>0</v>
      </c>
      <c r="I120" s="343"/>
      <c r="J120"/>
    </row>
    <row r="121" spans="1:10" ht="57" x14ac:dyDescent="0.2">
      <c r="A121" s="407" t="s">
        <v>370</v>
      </c>
      <c r="B121" s="394" t="str">
        <f>IF(C115="yes","Optional: ","")&amp;"In lieu of meeting the distance requirements for stockpiles of subsection (8)(H) of this standard permit, will stockpiles be contained within a three-walled bunker that extends at least two feet above the top of the stockpile?"</f>
        <v>In lieu of meeting the distance requirements for stockpiles of subsection (8)(H) of this standard permit, will stockpiles be contained within a three-walled bunker that extends at least two feet above the top of the stockpile?</v>
      </c>
      <c r="C121" s="335"/>
      <c r="D121" s="360" t="str">
        <f>IF($C$121="yes","This requirement is optional","Input for Section 8(J) is optional if 8H is met.")</f>
        <v>Input for Section 8(J) is optional if 8H is met.</v>
      </c>
      <c r="E121" s="525"/>
      <c r="F121" s="43"/>
      <c r="G121" s="115">
        <f>IF(AND(_6004Checklist_Section_8[[#This Row],[Response]]="no",$C$115="no"),1,0)</f>
        <v>0</v>
      </c>
      <c r="H121" s="115">
        <f>IF('PI-1S-CBP'!$B$110="Specialty",1,0)</f>
        <v>0</v>
      </c>
      <c r="I121" s="343"/>
      <c r="J121"/>
    </row>
    <row r="122" spans="1:10" ht="58.5" customHeight="1" x14ac:dyDescent="0.2">
      <c r="A122" s="406" t="s">
        <v>371</v>
      </c>
      <c r="B122" s="394" t="s">
        <v>372</v>
      </c>
      <c r="C122" s="335"/>
      <c r="D122" s="360" t="str">
        <f>IF(_6004Checklist_Section_8[[#This Row],[Response]]="no","This project does not meet the requirements of the Standard Permit.","N/A")</f>
        <v>N/A</v>
      </c>
      <c r="E122" s="26"/>
      <c r="F122" s="43"/>
      <c r="G122" s="115">
        <f>IF(_6004Checklist_Section_8[[#This Row],[Response]]="no",1,0)</f>
        <v>0</v>
      </c>
      <c r="H122" s="115">
        <f>IF(OR('PI-1S-CBP'!B110="Specialty",'PI-1S-CBP'!B110= "Temporary"),1,0)</f>
        <v>0</v>
      </c>
      <c r="I122" s="343"/>
      <c r="J122"/>
    </row>
    <row r="123" spans="1:10" ht="42.75" x14ac:dyDescent="0.2">
      <c r="A123" s="515"/>
      <c r="B123" s="394" t="s">
        <v>373</v>
      </c>
      <c r="C123" s="213"/>
      <c r="D123" s="338" t="str">
        <f>IF($C$124="no","This project does not meet the requirements of the Standard Permit.","N/A")</f>
        <v>N/A</v>
      </c>
      <c r="E123" s="26"/>
      <c r="F123" s="43"/>
      <c r="G123" s="115">
        <f>IF(_6004Checklist_Section_8[[#This Row],[Response]]="no",1,0)</f>
        <v>0</v>
      </c>
      <c r="H123" s="115">
        <f>IF(OR('PI-1S-CBP'!B110="Specialty",'PI-1S-CBP'!B109= "Temporary"),1,0)</f>
        <v>0</v>
      </c>
      <c r="I123" s="343"/>
      <c r="J123"/>
    </row>
    <row r="124" spans="1:10" ht="45.75" customHeight="1" thickBot="1" x14ac:dyDescent="0.25">
      <c r="A124" s="84" t="s">
        <v>370</v>
      </c>
      <c r="B124" s="405" t="s">
        <v>374</v>
      </c>
      <c r="C124" s="342"/>
      <c r="D124" s="364" t="str">
        <f>IF($C$124="no","This project does not meet the requirements of the Standard Permit.","N/A")</f>
        <v>N/A</v>
      </c>
      <c r="E124" s="26"/>
      <c r="F124" s="43"/>
      <c r="G124" s="115">
        <f>IF(_6004Checklist_Section_8[[#This Row],[Response]]="no",1,0)</f>
        <v>0</v>
      </c>
      <c r="H124" s="115">
        <f>IF(OR('PI-1S-CBP'!B110="Specialty",'PI-1S-CBP'!B109= "Temporary"),1,0)</f>
        <v>0</v>
      </c>
      <c r="I124" s="343"/>
      <c r="J124"/>
    </row>
    <row r="125" spans="1:10" ht="15" thickBot="1" x14ac:dyDescent="0.25">
      <c r="A125" s="743"/>
      <c r="B125" s="743"/>
      <c r="C125" s="743"/>
      <c r="D125" s="746"/>
      <c r="E125" s="20"/>
      <c r="F125" s="43"/>
      <c r="G125" s="115"/>
      <c r="H125" s="115">
        <f>IF('PI-1S-CBP'!B110="Specialty",1,0)</f>
        <v>0</v>
      </c>
      <c r="I125" s="343"/>
      <c r="J125"/>
    </row>
    <row r="126" spans="1:10" ht="18" customHeight="1" thickBot="1" x14ac:dyDescent="0.25">
      <c r="A126" s="721" t="s">
        <v>375</v>
      </c>
      <c r="B126" s="722"/>
      <c r="C126" s="722"/>
      <c r="D126" s="723"/>
      <c r="E126" s="20"/>
      <c r="F126" s="43"/>
      <c r="G126" s="115"/>
      <c r="H126" s="115">
        <f>IF(OR('PI-1S-CBP'!B110="Temporary",'PI-1S-CBP'!B110="Permanent"),1,0)</f>
        <v>0</v>
      </c>
      <c r="I126" s="343"/>
      <c r="J126"/>
    </row>
    <row r="127" spans="1:10" ht="15" x14ac:dyDescent="0.2">
      <c r="A127" s="408" t="s">
        <v>222</v>
      </c>
      <c r="B127" s="377" t="s">
        <v>223</v>
      </c>
      <c r="C127" s="377" t="s">
        <v>71</v>
      </c>
      <c r="D127" s="369" t="s">
        <v>224</v>
      </c>
      <c r="E127" s="526"/>
      <c r="F127" s="43"/>
      <c r="G127" s="115"/>
      <c r="H127" s="115">
        <f>IF(OR('PI-1S-CBP'!B110="Temporary",'PI-1S-CBP'!B110="Permanent"),1,0)</f>
        <v>0</v>
      </c>
      <c r="I127" s="343"/>
      <c r="J127"/>
    </row>
    <row r="128" spans="1:10" ht="30" customHeight="1" x14ac:dyDescent="0.2">
      <c r="A128" s="509" t="s">
        <v>376</v>
      </c>
      <c r="B128" s="28" t="s">
        <v>377</v>
      </c>
      <c r="C128" s="335"/>
      <c r="D128" s="167" t="s">
        <v>1258</v>
      </c>
      <c r="E128" s="20"/>
      <c r="F128" s="43"/>
      <c r="G128" s="115"/>
      <c r="H128" s="115">
        <f>IF(OR('PI-1S-CBP'!$B$110="Temporary",'PI-1S-CBP'!$B$110="Permanent"),1,0)</f>
        <v>0</v>
      </c>
      <c r="I128" s="343"/>
      <c r="J128"/>
    </row>
    <row r="129" spans="1:10" ht="30" customHeight="1" x14ac:dyDescent="0.2">
      <c r="A129" s="341" t="s">
        <v>376</v>
      </c>
      <c r="B129" s="28" t="s">
        <v>378</v>
      </c>
      <c r="C129" s="546"/>
      <c r="D129" s="360" t="str">
        <f>IF(J129&lt;&gt;"", "Production rates must be no more than the "&amp;LEFT(J129,3)&amp;","&amp;RIGHT(J129,3)&amp;" yd3/yr limit.", "N/A")</f>
        <v>N/A</v>
      </c>
      <c r="E129" s="20"/>
      <c r="F129" s="43"/>
      <c r="G129" s="115"/>
      <c r="H129" s="115">
        <f>IF(OR('PI-1S-CBP'!$B$110="Temporary",'PI-1S-CBP'!$B$110="Permanent"),1,0)</f>
        <v>0</v>
      </c>
      <c r="I129" s="343"/>
      <c r="J129" t="str">
        <f>IF(ISBLANK(C128),"",IF(C128&gt;30,Reference!B277,Reference!B276))</f>
        <v/>
      </c>
    </row>
    <row r="130" spans="1:10" ht="30" customHeight="1" x14ac:dyDescent="0.2">
      <c r="A130" s="341" t="s">
        <v>376</v>
      </c>
      <c r="B130" s="28" t="s">
        <v>379</v>
      </c>
      <c r="C130" s="335"/>
      <c r="D130" s="360" t="str">
        <f>IF(J130&lt;&gt;"", "Setback distances should be a minimum of "&amp;J130&amp;" ft.", "N/A")</f>
        <v>Setback distances should be a minimum of 100 ft.</v>
      </c>
      <c r="E130" s="20"/>
      <c r="F130" s="43"/>
      <c r="G130" s="115">
        <f>IF(ISBLANK(_6004Checklist_Section_9[[#This Row],[Response]]),0,IF(_6004Checklist_Section_9[[#This Row],[Response]]&lt;J130,1,0))</f>
        <v>0</v>
      </c>
      <c r="H130" s="115">
        <f>IF(OR('PI-1S-CBP'!$B$110="Temporary",'PI-1S-CBP'!$B$110="Permanent"),1,0)</f>
        <v>0</v>
      </c>
      <c r="I130" s="343"/>
      <c r="J130">
        <f>IF(C128&lt;=30,100,IF(C128&gt;=60,200,"X"))</f>
        <v>100</v>
      </c>
    </row>
    <row r="131" spans="1:10" ht="45" customHeight="1" x14ac:dyDescent="0.2">
      <c r="A131" s="397" t="s">
        <v>380</v>
      </c>
      <c r="B131" s="28" t="s">
        <v>381</v>
      </c>
      <c r="C131" s="335"/>
      <c r="D131" s="166" t="str">
        <f>IF(C131="no","Must meet requirements of subsection (5)(A).","N/A")</f>
        <v>N/A</v>
      </c>
      <c r="E131" s="20"/>
      <c r="F131" s="43"/>
      <c r="G131" s="115"/>
      <c r="H131" s="115">
        <f>IF(OR('PI-1S-CBP'!$B$110="Temporary",'PI-1S-CBP'!$B$110="Permanent"),1,0)</f>
        <v>0</v>
      </c>
      <c r="I131" s="343">
        <f>IF(_6004Checklist_Section_9[[#This Row],[Response]]="no",1,0)</f>
        <v>0</v>
      </c>
      <c r="J131"/>
    </row>
    <row r="132" spans="1:10" ht="42.75" x14ac:dyDescent="0.2">
      <c r="A132" s="397" t="s">
        <v>383</v>
      </c>
      <c r="B132" s="30" t="s">
        <v>384</v>
      </c>
      <c r="C132" s="335"/>
      <c r="D132" s="166" t="s">
        <v>232</v>
      </c>
      <c r="E132" s="20"/>
      <c r="F132" s="43"/>
      <c r="G132" s="115"/>
      <c r="H132" s="115">
        <f>IF(OR('PI-1S-CBP'!$B$110="Temporary",'PI-1S-CBP'!$B$110="Permanent"),1,0)</f>
        <v>0</v>
      </c>
      <c r="I132" s="343"/>
      <c r="J132"/>
    </row>
    <row r="133" spans="1:10" ht="14.25" x14ac:dyDescent="0.2">
      <c r="A133" s="341" t="s">
        <v>383</v>
      </c>
      <c r="B133" s="30" t="s">
        <v>268</v>
      </c>
      <c r="C133" s="335"/>
      <c r="D133" s="166" t="s">
        <v>232</v>
      </c>
      <c r="E133" s="20"/>
      <c r="F133" s="43"/>
      <c r="G133" s="115"/>
      <c r="H133" s="115">
        <f>IF(OR('PI-1S-CBP'!$B$110="Temporary",'PI-1S-CBP'!$B$110="Permanent"),1,0)</f>
        <v>0</v>
      </c>
      <c r="I133" s="343"/>
      <c r="J133"/>
    </row>
    <row r="134" spans="1:10" ht="14.25" x14ac:dyDescent="0.2">
      <c r="A134" s="340" t="s">
        <v>383</v>
      </c>
      <c r="B134" s="30" t="s">
        <v>269</v>
      </c>
      <c r="C134" s="335"/>
      <c r="D134" s="166" t="s">
        <v>232</v>
      </c>
      <c r="E134" s="20"/>
      <c r="F134" s="43"/>
      <c r="G134" s="115"/>
      <c r="H134" s="115">
        <f>IF(OR('PI-1S-CBP'!$B$110="Temporary",'PI-1S-CBP'!$B$110="Permanent",$C$133="N/A"),1,0)</f>
        <v>0</v>
      </c>
      <c r="I134" s="343"/>
      <c r="J134"/>
    </row>
    <row r="135" spans="1:10" ht="57" x14ac:dyDescent="0.2">
      <c r="A135" s="398" t="s">
        <v>385</v>
      </c>
      <c r="B135" s="28" t="s">
        <v>386</v>
      </c>
      <c r="C135" s="335"/>
      <c r="D135" s="166" t="s">
        <v>232</v>
      </c>
      <c r="E135" s="20"/>
      <c r="F135" s="43"/>
      <c r="G135" s="115">
        <f>IF(_6004Checklist_Section_9[[#This Row],[Response]]&gt;J135,1,0)</f>
        <v>0</v>
      </c>
      <c r="H135" s="115">
        <f>IF(OR('PI-1S-CBP'!$B$110="Temporary",'PI-1S-CBP'!$B$110="Permanent"),1,0)</f>
        <v>0</v>
      </c>
      <c r="I135" s="343"/>
      <c r="J135">
        <f>IF(J130="","",J130-50)</f>
        <v>50</v>
      </c>
    </row>
    <row r="136" spans="1:10" ht="57" x14ac:dyDescent="0.2">
      <c r="A136" s="407" t="s">
        <v>387</v>
      </c>
      <c r="B136" s="394" t="s">
        <v>388</v>
      </c>
      <c r="C136" s="335"/>
      <c r="D136" s="166" t="str">
        <f>IF(C136="no","Must meet requirements of subsection 9(A).","N/A")</f>
        <v>N/A</v>
      </c>
      <c r="E136" s="20"/>
      <c r="F136" s="43"/>
      <c r="G136" s="115"/>
      <c r="H136" s="115">
        <f>IF(OR('PI-1S-CBP'!$B$110="Temporary",'PI-1S-CBP'!$B$110="Permanent",C135&gt;=25),1,0)</f>
        <v>0</v>
      </c>
      <c r="I136" s="343">
        <f>IF(_6004Checklist_Section_9[[#This Row],[Response]]="no",1,0)</f>
        <v>0</v>
      </c>
      <c r="J136"/>
    </row>
    <row r="137" spans="1:10" ht="30" customHeight="1" thickBot="1" x14ac:dyDescent="0.25">
      <c r="A137" s="399" t="s">
        <v>389</v>
      </c>
      <c r="B137" s="88" t="str">
        <f>IF(C136="","Optional: What will be the height of the constructed borders? (feet)","What will be the height of the constructed borders? (feet)")</f>
        <v>Optional: What will be the height of the constructed borders? (feet)</v>
      </c>
      <c r="C137" s="342"/>
      <c r="D137" s="446" t="str">
        <f>IF(OR(_6004Checklist_Section_9[[#This Row],[Response]]=0,_6004Checklist_Section_9[[#This Row],[Response]]&gt;12),"N/A","Boarders must be at least 12 feet in height")</f>
        <v>N/A</v>
      </c>
      <c r="E137" s="20"/>
      <c r="F137" s="43"/>
      <c r="G137" s="115">
        <f>IF(0&lt;_6004Checklist_Section_9[[#This Row],[Response]]&lt;12,1,0)</f>
        <v>0</v>
      </c>
      <c r="H137" s="115">
        <f>IF(OR('PI-1S-CBP'!$B$110="Temporary",'PI-1S-CBP'!$B$110="Permanent",C135&gt;=25),1,0)</f>
        <v>0</v>
      </c>
      <c r="I137" s="343"/>
      <c r="J137"/>
    </row>
    <row r="138" spans="1:10" ht="15" thickBot="1" x14ac:dyDescent="0.25">
      <c r="A138" s="743"/>
      <c r="B138" s="744"/>
      <c r="C138" s="744"/>
      <c r="D138" s="745"/>
      <c r="E138" s="527"/>
      <c r="F138" s="555"/>
      <c r="G138" s="380"/>
      <c r="H138" s="115">
        <f>IF(OR('PI-1S-CBP'!$B$110="Specialty",'PI-1S-CBP'!$B$110="Permanent"),1,0)</f>
        <v>0</v>
      </c>
      <c r="I138" s="380"/>
    </row>
    <row r="139" spans="1:10" ht="18" customHeight="1" thickBot="1" x14ac:dyDescent="0.25">
      <c r="A139" s="747" t="s">
        <v>390</v>
      </c>
      <c r="B139" s="748"/>
      <c r="C139" s="748"/>
      <c r="D139" s="749"/>
      <c r="E139" s="20"/>
      <c r="G139" s="380"/>
      <c r="H139" s="115">
        <f>IF(OR('PI-1S-CBP'!$B$110="Specialty",'PI-1S-CBP'!$B$110="Permanent", 'PI-1S-CBP'!$B$10="Initial"),1,0)</f>
        <v>0</v>
      </c>
      <c r="I139" s="380"/>
    </row>
    <row r="140" spans="1:10" ht="15.75" thickBot="1" x14ac:dyDescent="0.25">
      <c r="A140" s="408" t="s">
        <v>222</v>
      </c>
      <c r="B140" s="377" t="s">
        <v>223</v>
      </c>
      <c r="C140" s="377" t="s">
        <v>71</v>
      </c>
      <c r="D140" s="370" t="s">
        <v>224</v>
      </c>
      <c r="E140" s="526"/>
      <c r="G140" s="380"/>
      <c r="H140" s="115">
        <f>IF(OR('PI-1S-CBP'!$B$110="Specialty",'PI-1S-CBP'!$B$110="Permanent", 'PI-1S-CBP'!$B$10="Initial"),1,0)</f>
        <v>0</v>
      </c>
      <c r="I140" s="380"/>
    </row>
    <row r="141" spans="1:10" ht="128.25" x14ac:dyDescent="0.2">
      <c r="A141" s="409" t="s">
        <v>391</v>
      </c>
      <c r="B141" s="410" t="s">
        <v>392</v>
      </c>
      <c r="C141" s="378" t="s">
        <v>293</v>
      </c>
      <c r="D141" s="349" t="s">
        <v>232</v>
      </c>
      <c r="E141" s="526"/>
      <c r="G141" s="380"/>
      <c r="H141" s="115">
        <f>IF(OR('PI-1S-CBP'!$B$110="Specialty",'PI-1S-CBP'!$B$110="Permanent", 'PI-1S-CBP'!$B$10="Initial"),1,0)</f>
        <v>0</v>
      </c>
      <c r="I141" s="380"/>
    </row>
    <row r="142" spans="1:10" ht="57" x14ac:dyDescent="0.2">
      <c r="A142" s="398" t="s">
        <v>393</v>
      </c>
      <c r="B142" s="402" t="s">
        <v>394</v>
      </c>
      <c r="C142" s="523">
        <f>'PI-1S-CBP'!$B$28</f>
        <v>0</v>
      </c>
      <c r="D142" s="363" t="str">
        <f>IF(AND($C$142="No",$C$143="No"),"10(A)(i) or 10(A)(ii) must be meet for this project to meet the requirements of the Standard Permit.","N/A")</f>
        <v>N/A</v>
      </c>
      <c r="E142" s="526"/>
      <c r="G142" s="380">
        <f>IF(AND($C$142="No",$C$143="No"),1,0)</f>
        <v>0</v>
      </c>
      <c r="H142" s="115">
        <f>IF(OR('PI-1S-CBP'!$B$110="Specialty",'PI-1S-CBP'!$B$110="Permanent", 'PI-1S-CBP'!$B$10="Initial"),1,0)</f>
        <v>0</v>
      </c>
      <c r="I142" s="380"/>
    </row>
    <row r="143" spans="1:10" ht="57" x14ac:dyDescent="0.2">
      <c r="A143" s="398" t="s">
        <v>395</v>
      </c>
      <c r="B143" s="402" t="s">
        <v>396</v>
      </c>
      <c r="C143" s="523">
        <f>'PI-1S-CBP'!$B$29</f>
        <v>0</v>
      </c>
      <c r="D143" s="363" t="str">
        <f>IF(AND($C$142="No",$C$143="No"),"10(A)(i) or 10(A)(ii) must be meet for this project to meet the requirements of the Standard Permit.","N/A")</f>
        <v>N/A</v>
      </c>
      <c r="E143" s="526"/>
      <c r="G143" s="380">
        <f>IF(AND($C$142="No",$C$143="No"),1,0)</f>
        <v>0</v>
      </c>
      <c r="H143" s="115">
        <f>IF(OR('PI-1S-CBP'!$B$110="Specialty",'PI-1S-CBP'!$B$110="Permanent", 'PI-1S-CBP'!$B$10="Initial"),1,0)</f>
        <v>0</v>
      </c>
      <c r="I143" s="380"/>
    </row>
    <row r="144" spans="1:10" ht="200.25" customHeight="1" x14ac:dyDescent="0.2">
      <c r="A144" s="397" t="s">
        <v>397</v>
      </c>
      <c r="B144" s="394" t="s">
        <v>398</v>
      </c>
      <c r="C144" s="358"/>
      <c r="D144" s="363" t="s">
        <v>232</v>
      </c>
      <c r="E144" s="526"/>
      <c r="G144" s="380"/>
      <c r="H144" s="115">
        <f>IF(OR('PI-1S-CBP'!$B$110="Specialty",'PI-1S-CBP'!$B$110="Permanent", 'PI-1S-CBP'!$B$10="Initial"),1,0)</f>
        <v>0</v>
      </c>
      <c r="I144" s="380"/>
    </row>
    <row r="145" spans="1:9" ht="57" x14ac:dyDescent="0.2">
      <c r="A145" s="397" t="s">
        <v>399</v>
      </c>
      <c r="B145" s="403" t="s">
        <v>400</v>
      </c>
      <c r="C145" s="358"/>
      <c r="D145" s="363" t="s">
        <v>232</v>
      </c>
      <c r="E145" s="526"/>
      <c r="G145" s="380"/>
      <c r="H145" s="115">
        <f>IF(OR('PI-1S-CBP'!$B$110="Specialty",'PI-1S-CBP'!$B$110="Permanent", 'PI-1S-CBP'!$B$10="Initial"),1,0)</f>
        <v>0</v>
      </c>
      <c r="I145" s="380"/>
    </row>
    <row r="146" spans="1:9" ht="28.5" x14ac:dyDescent="0.2">
      <c r="A146" s="407" t="s">
        <v>401</v>
      </c>
      <c r="B146" s="403" t="s">
        <v>402</v>
      </c>
      <c r="C146" s="358"/>
      <c r="D146" s="363" t="s">
        <v>232</v>
      </c>
      <c r="E146" s="526"/>
      <c r="G146" s="380"/>
      <c r="H146" s="115">
        <f>IF(OR('PI-1S-CBP'!$B$110="Specialty",'PI-1S-CBP'!$B$110="Permanent", 'PI-1S-CBP'!$B$10="Initial"),1,0)</f>
        <v>0</v>
      </c>
      <c r="I146" s="380"/>
    </row>
    <row r="147" spans="1:9" ht="42.75" x14ac:dyDescent="0.2">
      <c r="A147" s="407" t="s">
        <v>403</v>
      </c>
      <c r="B147" s="403" t="s">
        <v>404</v>
      </c>
      <c r="C147" s="358"/>
      <c r="D147" s="363" t="s">
        <v>232</v>
      </c>
      <c r="E147" s="526"/>
      <c r="G147" s="380"/>
      <c r="H147" s="115">
        <f>IF(OR('PI-1S-CBP'!$B$110="Specialty",'PI-1S-CBP'!$B$110="Permanent", 'PI-1S-CBP'!$B$10="Initial"),1,0)</f>
        <v>0</v>
      </c>
      <c r="I147" s="380"/>
    </row>
    <row r="148" spans="1:9" ht="15" x14ac:dyDescent="0.2">
      <c r="A148" s="407" t="s">
        <v>405</v>
      </c>
      <c r="B148" s="403" t="s">
        <v>406</v>
      </c>
      <c r="C148" s="388"/>
      <c r="D148" s="363" t="s">
        <v>407</v>
      </c>
      <c r="E148" s="526"/>
      <c r="G148" s="380"/>
      <c r="H148" s="115">
        <f>IF(OR('PI-1S-CBP'!$B$110="Specialty",'PI-1S-CBP'!$B$110="Permanent", 'PI-1S-CBP'!$B$10="Initial"),1,0)</f>
        <v>0</v>
      </c>
      <c r="I148" s="380"/>
    </row>
    <row r="149" spans="1:9" ht="15" x14ac:dyDescent="0.2">
      <c r="A149" s="398" t="s">
        <v>405</v>
      </c>
      <c r="B149" s="403" t="s">
        <v>408</v>
      </c>
      <c r="C149" s="389"/>
      <c r="D149" s="363" t="s">
        <v>407</v>
      </c>
      <c r="E149" s="528"/>
      <c r="G149" s="380"/>
      <c r="H149" s="115">
        <f>IF(OR('PI-1S-CBP'!$B$110="Specialty",'PI-1S-CBP'!$B$110="Permanent", 'PI-1S-CBP'!$B$10="Initial"),1,0)</f>
        <v>0</v>
      </c>
      <c r="I149" s="380"/>
    </row>
    <row r="150" spans="1:9" ht="15" x14ac:dyDescent="0.2">
      <c r="A150" s="407" t="s">
        <v>409</v>
      </c>
      <c r="B150" s="403" t="s">
        <v>410</v>
      </c>
      <c r="C150" s="358"/>
      <c r="D150" s="363" t="s">
        <v>411</v>
      </c>
      <c r="E150" s="529"/>
      <c r="G150" s="380"/>
      <c r="H150" s="115">
        <f>IF(OR('PI-1S-CBP'!$B$110="Specialty",'PI-1S-CBP'!$B$110="Permanent", 'PI-1S-CBP'!$B$10="Initial"),1,0)</f>
        <v>0</v>
      </c>
      <c r="I150" s="380"/>
    </row>
    <row r="151" spans="1:9" ht="71.25" x14ac:dyDescent="0.2">
      <c r="A151" s="407" t="s">
        <v>412</v>
      </c>
      <c r="B151" s="403" t="s">
        <v>413</v>
      </c>
      <c r="C151" s="358"/>
      <c r="D151" s="363" t="s">
        <v>414</v>
      </c>
      <c r="E151" s="526"/>
      <c r="G151" s="380"/>
      <c r="H151" s="115">
        <f>IF(OR('PI-1S-CBP'!$B$110="Specialty",'PI-1S-CBP'!$B$110="Permanent", 'PI-1S-CBP'!$B$10="Initial"),1,0)</f>
        <v>0</v>
      </c>
      <c r="I151" s="380"/>
    </row>
    <row r="152" spans="1:9" ht="71.25" x14ac:dyDescent="0.2">
      <c r="A152" s="407" t="s">
        <v>415</v>
      </c>
      <c r="B152" s="403" t="s">
        <v>416</v>
      </c>
      <c r="C152" s="358"/>
      <c r="D152" s="363" t="s">
        <v>414</v>
      </c>
      <c r="E152" s="526"/>
      <c r="G152" s="380"/>
      <c r="H152" s="115">
        <f>IF(OR('PI-1S-CBP'!$B$110="Specialty",'PI-1S-CBP'!$B$110="Permanent", 'PI-1S-CBP'!$B$10="Initial"),1,0)</f>
        <v>0</v>
      </c>
      <c r="I152" s="380"/>
    </row>
    <row r="153" spans="1:9" ht="57.75" thickBot="1" x14ac:dyDescent="0.25">
      <c r="A153" s="399" t="s">
        <v>417</v>
      </c>
      <c r="B153" s="405" t="s">
        <v>418</v>
      </c>
      <c r="C153" s="508"/>
      <c r="D153" s="364" t="s">
        <v>419</v>
      </c>
      <c r="E153" s="386"/>
      <c r="G153" s="385"/>
      <c r="H153" s="115">
        <f>IF(OR('PI-1S-CBP'!$B$110="Specialty",'PI-1S-CBP'!$B$110="Permanent", 'PI-1S-CBP'!$B$10="Initial"),1,0)</f>
        <v>0</v>
      </c>
      <c r="I153" s="385"/>
    </row>
    <row r="154" spans="1:9" ht="14.25" x14ac:dyDescent="0.2">
      <c r="A154" s="700" t="s">
        <v>420</v>
      </c>
      <c r="B154" s="700"/>
      <c r="C154" s="700"/>
      <c r="D154" s="700"/>
      <c r="E154" s="700"/>
    </row>
    <row r="156" spans="1:9" ht="13.5" hidden="1" customHeight="1" x14ac:dyDescent="0.2"/>
  </sheetData>
  <sheetProtection algorithmName="SHA-512" hashValue="IArm2vpGVnMlwMDCR3Fx933lpG3NyG5wzebrwNcqSlfh6ruwptN1gCJJ79aCm1Cl67Sx8ZqWWnF+kk9GWYWJxA==" saltValue="q8CogmHbXq8OxP3tSEsttQ==" spinCount="100000" sheet="1" objects="1" scenarios="1" formatColumns="0" formatRows="0" autoFilter="0"/>
  <mergeCells count="33">
    <mergeCell ref="A138:D138"/>
    <mergeCell ref="A125:D125"/>
    <mergeCell ref="A154:E154"/>
    <mergeCell ref="A126:D126"/>
    <mergeCell ref="A139:D139"/>
    <mergeCell ref="A86:D86"/>
    <mergeCell ref="A90:D90"/>
    <mergeCell ref="A11:D11"/>
    <mergeCell ref="A69:D69"/>
    <mergeCell ref="A15:D15"/>
    <mergeCell ref="A24:D24"/>
    <mergeCell ref="A85:D85"/>
    <mergeCell ref="A89:D89"/>
    <mergeCell ref="A23:D23"/>
    <mergeCell ref="A12:D12"/>
    <mergeCell ref="A16:D16"/>
    <mergeCell ref="C10:D10"/>
    <mergeCell ref="A10:B10"/>
    <mergeCell ref="C8:D8"/>
    <mergeCell ref="A25:D25"/>
    <mergeCell ref="A70:D70"/>
    <mergeCell ref="A8:B8"/>
    <mergeCell ref="A9:B9"/>
    <mergeCell ref="C9:D9"/>
    <mergeCell ref="A6:B6"/>
    <mergeCell ref="A7:B7"/>
    <mergeCell ref="C6:D6"/>
    <mergeCell ref="C7:D7"/>
    <mergeCell ref="A1:D1"/>
    <mergeCell ref="A3:D3"/>
    <mergeCell ref="A4:D4"/>
    <mergeCell ref="A5:D5"/>
    <mergeCell ref="A2:D2"/>
  </mergeCells>
  <phoneticPr fontId="48" type="noConversion"/>
  <conditionalFormatting sqref="A4:D153">
    <cfRule type="expression" dxfId="75" priority="5">
      <formula>$H4=1</formula>
    </cfRule>
  </conditionalFormatting>
  <conditionalFormatting sqref="A20:D21 A23">
    <cfRule type="expression" dxfId="74" priority="1229">
      <formula>AND($C$19="no",$C$22="no")</formula>
    </cfRule>
  </conditionalFormatting>
  <conditionalFormatting sqref="A4:E153">
    <cfRule type="expression" dxfId="71" priority="1256">
      <formula>$H$16=1</formula>
    </cfRule>
  </conditionalFormatting>
  <conditionalFormatting sqref="C4:C153">
    <cfRule type="expression" dxfId="70" priority="7">
      <formula>$G4=1</formula>
    </cfRule>
  </conditionalFormatting>
  <conditionalFormatting sqref="C4:D153">
    <cfRule type="expression" dxfId="69" priority="6">
      <formula>$I4=1</formula>
    </cfRule>
  </conditionalFormatting>
  <conditionalFormatting sqref="D4:D153">
    <cfRule type="expression" dxfId="68" priority="9">
      <formula>$G4=1</formula>
    </cfRule>
  </conditionalFormatting>
  <dataValidations xWindow="617" yWindow="651" count="104">
    <dataValidation type="list" allowBlank="1" showErrorMessage="1" promptTitle="Section 4" prompt="Does the attached map indicate where the public works right of way is located and the location of the proposed plant? Select either Yes or No from the dropdown." sqref="C20" xr:uid="{1A7C34E1-5114-404D-A087-E2FC202A7D2C}">
      <formula1>"Yes,No"</formula1>
    </dataValidation>
    <dataValidation type="decimal" operator="greaterThanOrEqual" allowBlank="1" showErrorMessage="1" promptTitle="Section 5" prompt="What is the control efficiency of the filter system (including any central filter systems) for particle sizes of 2.5 microns and smaller (%)? Enter the control efficiency as a number (for example, 99.5)" sqref="C32" xr:uid="{CC3F7A24-C2A0-4ED2-B23B-082DF3B8B8AA}">
      <formula1>0.995</formula1>
    </dataValidation>
    <dataValidation type="list" allowBlank="1" showErrorMessage="1" promptTitle="Section 5" prompt="What type of device is utilized onsite to warn when silos are reaching capacity? Select either Automatic shut-off device, Warning device, or Automatic shut-off device and warning device from the dropdown." sqref="C37" xr:uid="{0A2FB7EF-74BB-491F-93C1-9135F37CB6A0}">
      <formula1>"Automatic shut-off device,Warning device,Automatic shut-off device and warning device"</formula1>
    </dataValidation>
    <dataValidation type="list" allowBlank="1" showErrorMessage="1" promptTitle="Section 9" prompt="In lieu of meeting the distance requirements in (10)(D), will the roads and other traffic areas within the buffer distance be bordered by dust suppressing fencing or other barriers along all traffic routes or work areas? Select Yes or No" sqref="C136" xr:uid="{1FE46510-4539-4DB7-9BA2-133198F263F5}">
      <formula1>"Yes,No"</formula1>
    </dataValidation>
    <dataValidation type="list" allowBlank="1" showErrorMessage="1" promptTitle="Section 5" prompt="Confirm that none of the concrete additives will emit volatile organic compounds (VOC)? Select I agree or I disagree from the dropdown." sqref="C58" xr:uid="{C76D0836-B382-41C0-BF2D-A8473B33829A}">
      <formula1>"I agree,I disagree"</formula1>
    </dataValidation>
    <dataValidation type="decimal" operator="greaterThanOrEqual" allowBlank="1" showErrorMessage="1" promptTitle="Section 9" prompt="What will be the height of the constructed borders? Enter the border height in feet" sqref="C137" xr:uid="{6C0FE797-02E8-4DE3-AF75-7900BE1809F2}">
      <formula1>IF(C136="","",12)</formula1>
    </dataValidation>
    <dataValidation type="decimal" operator="greaterThanOrEqual" allowBlank="1" showErrorMessage="1" promptTitle="Section 9" prompt="Minimum setback distance (ft)" sqref="C130" xr:uid="{7FFE8555-09F7-422A-B5FC-1264C31757FC}">
      <formula1>$J$130</formula1>
    </dataValidation>
    <dataValidation type="list" allowBlank="1" showErrorMessage="1" promptTitle="Section 9" prompt="Select a third control method if applicable. Either_x000a_Suction shroud or other pickup device delivering air to a fabric or cartridge filter, enclosed batch mixer feed, or conducting the entire mixing operation inside an enclosed process building." sqref="C134" xr:uid="{292F4BFF-C536-4287-9245-0531A64D02BF}">
      <formula1>ControlBatch</formula1>
    </dataValidation>
    <dataValidation operator="greaterThanOrEqual" allowBlank="1" showErrorMessage="1" promptTitle="Section 9" prompt="How far from the nearest property line are any vehicles used for the operation of the concrete batch plant (feet)? (Excluding incidental traffic and the entrance and exit of the site.) Enter the distance in feet" sqref="C135" xr:uid="{DEC46EF4-F013-4426-81D3-777A9A2B6F9F}"/>
    <dataValidation allowBlank="1" showErrorMessage="1" prompt="If no or i disagree are selected, this application does not meet the requirements of the standard permit." sqref="D91 D124 D127 D87 D71 D26 D17 D13 D140:D152" xr:uid="{47240594-D03C-4B8A-AE20-4E83947FBB6C}"/>
    <dataValidation operator="greaterThanOrEqual" allowBlank="1" showErrorMessage="1" promptTitle="Section 5" prompt="What is the distance from the concrete batch plant to any crushing plant or hot mix asphalt plant? (feet). Enter the distance in feet." sqref="C54" xr:uid="{8745A7E8-56F7-4ADF-AD68-BF9B4EDEBD55}"/>
    <dataValidation allowBlank="1" showErrorMessage="1" sqref="D20:D21 D88 D153" xr:uid="{4ECC5FE0-4A0B-4734-AF9C-5DE4B617E3CB}"/>
    <dataValidation type="list" operator="lessThanOrEqual" allowBlank="1" showErrorMessage="1" promptTitle="Section 6" prompt="Is the total horsepower (hp) of the stationary compression ignition internal combustion engine (or combination of engines) in simultaneous operation at the site no more than 1,000 total horsepower (hp)? Select Yes or No from the dropdown." sqref="C73" xr:uid="{28920CAE-4FFB-4B56-95BE-38D29353549D}">
      <formula1>"Yes,No"</formula1>
    </dataValidation>
    <dataValidation type="list" allowBlank="1" showErrorMessage="1" prompt="Enter the type of Operation. Select either Central Mix or Ready Mix from the dropdown." sqref="C7:D7" xr:uid="{C07235E0-EE1C-4587-897F-E8FCBBD39EDB}">
      <formula1>"Central Mix, Truck Mix"</formula1>
    </dataValidation>
    <dataValidation type="list" allowBlank="1" showErrorMessage="1" promptTitle="Section 5" prompt="During cement/fly ash storage silo filling, except for connecting or disconnecting, will you keep a standard of having no visible emissions for more than 30 seconds in any six-minute period from the conveying system? Select Yes or No from the dropdown." sqref="C36" xr:uid="{A95F075F-4E8B-4615-946C-A587B675809E}">
      <formula1>"Yes,No"</formula1>
    </dataValidation>
    <dataValidation type="list" allowBlank="1" showErrorMessage="1" promptTitle="Section 5" prompt="Select a third control method if applicable._x000a_Watering, Treated with dust-suppressant chemicals, coverering with a material or tire chips, or paved with a cohesive hard surface that is maintained intact and cleaned." sqref="C44" xr:uid="{142EEBD4-D8A4-4BF8-9FDD-3ECC1DC86925}">
      <formula1>RoadcontrolAlt</formula1>
    </dataValidation>
    <dataValidation type="list" allowBlank="1" showErrorMessage="1" promptTitle="Section 5" prompt="How will dust emissions from all stockpiles be minimized at all times?  More than one may be selected using the following rows. Select a control method from the dropdown_x000a_sprinkling with water, sprinkling with dust-suppresent chemicals, or covered." sqref="C46" xr:uid="{30908964-8425-4103-BF49-184510488370}">
      <formula1>ControlPiles</formula1>
    </dataValidation>
    <dataValidation type="list" allowBlank="1" showErrorMessage="1" promptTitle="Section 5" prompt="Select a second control method, if applicable. Either:_x000a_sprinkling with water, sprinkling with dust-suppresent chemicals, or covered." sqref="C47:C48" xr:uid="{E4E7BBDF-D149-4CD1-B648-A88B69DD41C3}">
      <formula1>ControlPilesAlt</formula1>
    </dataValidation>
    <dataValidation type="list" allowBlank="1" showErrorMessage="1" promptTitle="Section 9" prompt="Select a second control method if applicable. Either_x000a_Suction shroud or other pickup device delivering air to a fabric or cartridge filter, enclosed batch mixer feed, or conducting the entire mixing operation inside an enclosed process building." sqref="C133" xr:uid="{6295EE3A-D373-4F6A-99C2-79344503D9FB}">
      <formula1>ControlBatch</formula1>
    </dataValidation>
    <dataValidation type="list" allowBlank="1" showErrorMessage="1" promptTitle="Section 3" prompt="Will you meet all of the requirements of Section 3 of the Standard Permit regarding administrative, record-keeping and MSS requirements? Select either Yes or No from the dropdown." sqref="C14" xr:uid="{D3458AC7-F35F-4C56-8788-B9DE6F04D22A}">
      <formula1>"Yes,No"</formula1>
    </dataValidation>
    <dataValidation type="list" allowBlank="1" showErrorMessage="1" promptTitle="Section 4" prompt="Will you meet all of the requirements of Section 4 of the Standard Permit regarding public notice? Select either Yes or No from the dropdown." sqref="C18" xr:uid="{AC988BFE-DD9D-4870-BED6-606AEDB0B217}">
      <formula1>"Yes,No"</formula1>
    </dataValidation>
    <dataValidation type="list" allowBlank="1" showErrorMessage="1" promptTitle="Section 5" prompt="Are the storage silos and auxiliary storage tanks controlled by a cartridge or filter system? Select Yes or No from the dropdown." sqref="C27" xr:uid="{4E195DB9-0375-4E9D-A723-DC57266A1E42}">
      <formula1>"Yes,No"</formula1>
    </dataValidation>
    <dataValidation type="list" allowBlank="1" showErrorMessage="1" promptTitle="Section 5" prompt="Will fabric/cartridge filters and collection systems be operated properly with no tears or leaks? Select Yes or No from the dropdown." sqref="C31" xr:uid="{2ADD24DB-09C3-44D5-8096-A42B0C840181}">
      <formula1>"Yes,No"</formula1>
    </dataValidation>
    <dataValidation type="list" allowBlank="1" showErrorMessage="1" promptTitle="Section 5" prompt="Will all filter systems meet visible emissions performance standards? Select Yes or No from the dropdown." sqref="C33" xr:uid="{FFBA3973-A937-428B-875A-DE2C73DD677C}">
      <formula1>"Yes,No"</formula1>
    </dataValidation>
    <dataValidation type="list" allowBlank="1" showErrorMessage="1" promptTitle="Section 5" prompt="Will cement and/or fly ash silo filter exhausts be equipped with sufficient illumination to observe visible emissions performance if filled during non-daylight hours? Select Yes or No from the dropdown." sqref="C34" xr:uid="{E9DF2AAE-A839-4DBD-9E95-55592B54DEA7}">
      <formula1>"Yes,No"</formula1>
    </dataValidation>
    <dataValidation type="list" allowBlank="1" showErrorMessage="1" promptTitle="Section 5" prompt="Will conveying systems to and from the storage silos be properly operated, remain totally enclosed, and maintained with no tears or leaks? Select Yes or No from the dropdown." sqref="C35" xr:uid="{E0EC7DC7-E86A-4174-BB01-D402F9A1910D}">
      <formula1>"Yes,No"</formula1>
    </dataValidation>
    <dataValidation type="list" allowBlank="1" showErrorMessage="1" promptTitle="Section 5" prompt="If a warning device is used, will it alert operators in sufficient time to prevent an adverse impact on the pollution abatement equipment or other parts of the loading operation? Select Yes or No from the dropdown." sqref="C39" xr:uid="{DE67D771-BEA5-4C37-879D-574945D90C47}">
      <formula1>"Yes,No"</formula1>
    </dataValidation>
    <dataValidation type="list" allowBlank="1" showErrorMessage="1" promptTitle="Section 5" prompt="Do you regularly prevent particle build-up on visible warning devices? Select Yes or No from the dropdown." sqref="C40" xr:uid="{215D80E4-65C3-45FB-B8D1-00558D46D798}">
      <formula1>"Yes,No"</formula1>
    </dataValidation>
    <dataValidation type="list" allowBlank="1" showErrorMessage="1" promptTitle="Section 5" prompt="Will warning devices or shut-off systems for silo and auxiliary storage tanks be tested at least monthly during operations and records kept indicating test and repair results in accordance with Section (3)(J) of this standard permit? Select Yes or No" sqref="C41" xr:uid="{78B96FE6-473F-4179-AA47-71B5D853EE90}">
      <formula1>"Yes,No"</formula1>
    </dataValidation>
    <dataValidation allowBlank="1" showErrorMessage="1" prompt="This cell may be used for applicant internal comments. All comments must be deleted prior to application submittal." sqref="I13 I17 I87 I91:I116 I119:I137" xr:uid="{24E75557-788F-4939-B69D-1D2FAD450CFB}"/>
    <dataValidation allowBlank="1" showErrorMessage="1" promptTitle="Section 4" prompt="Not an input. Enter in the single project name and any identifying project numbers (for example, indicate TXDOT project name)." sqref="C21" xr:uid="{8A74C399-5EA7-4142-82C0-8A9A3ABCFF3C}"/>
    <dataValidation type="list" allowBlank="1" showErrorMessage="1" promptTitle="Section 5" prompt="If an automatic shut-off device is installed, will it shut down the loading operations on each bulk storage silo or auxiliary storage tank prior to reaching capacity? Select Yes or No from the dropdown." sqref="C38" xr:uid="{4D42EBFE-9587-4DE9-A012-7E7710612A3F}">
      <formula1>"Yes,No, N/A"</formula1>
    </dataValidation>
    <dataValidation type="list" allowBlank="1" showErrorMessage="1" promptTitle="Section 5" prompt="Confirm that all material spills will be immediately cleaned up and contained or dampened so dust emissions are minimized. Select I agree or I disagree from the dropdown." sqref="C50" xr:uid="{14BF64DF-7C0C-4D58-849C-41FECA5F421B}">
      <formula1>"I agree,I disagree"</formula1>
    </dataValidation>
    <dataValidation type="list" allowBlank="1" showErrorMessage="1" promptTitle="Section 5" prompt="Will visible emissions leave the property for more than 30 seconds in duration in any six-minute period during normal plant operations as determined using EPA Test Method 22? Select Yes or No from the dropdown." sqref="C51" xr:uid="{8266FD21-50C1-4944-B82A-BA8F7032D2B9}">
      <formula1>"I agree,I disagree"</formula1>
    </dataValidation>
    <dataValidation type="list" allowBlank="1" showErrorMessage="1" promptTitle="Section 5" prompt="Will quarterly visible emission observations be performed and recorded in accordance with Section (3)(J) of this standard permit? Select Yes or No from the dropdown." sqref="C52" xr:uid="{B40939C8-E5AA-4EE5-BCB3-61952E18C551}">
      <formula1>"Yes,No"</formula1>
    </dataValidation>
    <dataValidation type="list" allowBlank="1" showErrorMessage="1" promptTitle="Section 5" prompt="If visible emissions exceed Test Method 22 criteria, will immediate corrective action be taken and documented? Select Yes or No from the dropdown." sqref="C53" xr:uid="{2BD687A7-4F64-4482-833B-B0942CC02BBA}">
      <formula1>"Yes,No"</formula1>
    </dataValidation>
    <dataValidation type="list" allowBlank="1" showErrorMessage="1" promptTitle="Section 5" prompt="If less than 550 feet, will the concrete batch plant operate at the same time as the crushing plant or hot mix asphalt plant? Select Yes or No from the dropdown." sqref="C55" xr:uid="{B64C1D83-1048-4C73-9119-EC09AC573B05}">
      <formula1>"Yes,No"</formula1>
    </dataValidation>
    <dataValidation type="list" allowBlank="1" showErrorMessage="1" promptTitle="Section 5" prompt="Are multiple concrete batch plants being operated on the same site? Select Yes or No from the dropdown." sqref="C59" xr:uid="{F63A15F9-57FC-412E-9E7C-8D583FC252F0}">
      <formula1>"Yes,No"</formula1>
    </dataValidation>
    <dataValidation type="list" allowBlank="1" showErrorMessage="1" promptTitle="Section 5" prompt="Will site production limits be maintained per Section (8), (9), or (10)? Select Yes or No from the dropdown." sqref="C57 C61:C68" xr:uid="{36A2A03E-1B03-4AE4-B0FC-8267161E21FA}">
      <formula1>"Yes,No"</formula1>
    </dataValidation>
    <dataValidation type="list" allowBlank="1" showErrorMessage="1" promptTitle="Section 6" prompt="Will fuel for the engine(s) be liquid fuel with a maximum sulfur content of no more than 0.0015 percent by weight and not consist of a blend containing waste oils or solvents? Select Yes or No from the dropdown." sqref="C80" xr:uid="{471FAB93-6E3C-41CC-91C8-872EC3AD4DF6}">
      <formula1>"Yes,No"</formula1>
    </dataValidation>
    <dataValidation type="list" allowBlank="1" showErrorMessage="1" promptTitle="Section 8" prompt="Will all batch trucks and material delivery trucks shall remain on the paved surface when entering, conducting primary function, and leaving the property. Select Yes or No." sqref="C124" xr:uid="{CD098507-4E8D-4A93-9EA2-E9F921444CD2}">
      <formula1>"Yes,No"</formula1>
    </dataValidation>
    <dataValidation type="list" allowBlank="1" showErrorMessage="1" promptTitle="Section 9" prompt="As an alternative to the requirement in subsection (5)(A) of this standard permit, will the cement/fly ash weigh hopper be vented inside the batch mixer? Select Yes or No" sqref="C131" xr:uid="{E7CBAA15-35B9-4792-9D57-99011F75213B}">
      <formula1>"Yes,No"</formula1>
    </dataValidation>
    <dataValidation type="list" allowBlank="1" showErrorMessage="1" promptTitle="Section 6" prompt="Confirm emissions from the engine(s) will not exceed 2.61 grams per horsepower-hour (g/hp-hr) of NOX, per manufacturer’s specifications? Select I agree or I disagree from the dropdown." sqref="C81" xr:uid="{A3D54D35-4C62-4A10-8765-FB0364054AFA}">
      <formula1>"I agree,I disagree"</formula1>
    </dataValidation>
    <dataValidation type="list" allowBlank="1" showErrorMessage="1" promptTitle="Section 6" prompt="Will a copy of the manufacturer's specifications be kept at the site? Select Yes or No from the dropdown." sqref="C82" xr:uid="{6826E7DB-FAC3-465D-980E-40968AAB0647}">
      <formula1>"Yes,No"</formula1>
    </dataValidation>
    <dataValidation allowBlank="1" showErrorMessage="1" promptTitle="Section 6" prompt="Not an input. If engine(s) are being used for electrical power or equipment operations, then is the site limited to a total of 1,000 hp in simultaneous operation?" sqref="C84" xr:uid="{8A44904B-1B09-44BF-B95E-264E98B23CF7}"/>
    <dataValidation type="whole" operator="lessThanOrEqual" allowBlank="1" showErrorMessage="1" promptTitle="Section 8" prompt="How many cubic yards per year will be produced by this plant? (yd3/yr) " sqref="C106" xr:uid="{624378DA-8E4A-4248-9394-A75A217D458E}">
      <formula1>650000</formula1>
    </dataValidation>
    <dataValidation type="whole" operator="greaterThanOrEqual" allowBlank="1" showErrorMessage="1" promptTitle="Section 8" prompt="What is the minimum filtering velocity of the fabric or cartridge filter system for the suction shroud/central mix drum? (acfm)" sqref="C107" xr:uid="{02EE0963-34D3-4515-9A08-D363DCDE43D4}">
      <formula1>5000</formula1>
    </dataValidation>
    <dataValidation type="list" allowBlank="1" showErrorMessage="1" promptTitle="Section 7" prompt="Will planned maintenance activities receive separate authorization, unless the activity can meet the conditions of 30 TAC § 116.119, De Minimis Facilities or Sources? Select Yes or No from the dropdown." sqref="C88" xr:uid="{A8348628-1EA7-49B7-83E0-8E5B9E44A293}">
      <formula1>"Yes,No"</formula1>
    </dataValidation>
    <dataValidation type="list" allowBlank="1" showErrorMessage="1" promptTitle="Section 8" prompt="Confirm a single truck mix plant shall operate under the requirements in subsection (8)(E) and shall comply with the limits in the two rows below, except as provided in paragraph (A)(ii) of this section. Select Yes or No." sqref="C92" xr:uid="{1914AFA1-E5EE-421B-8FA5-30011ACF7EB8}">
      <formula1>"Yes,No"</formula1>
    </dataValidation>
    <dataValidation type="list" allowBlank="1" showErrorMessage="1" promptTitle="Section 8" prompt="Confirm a single truck mix plant operating under the requirements in subsection (8)(E) and subsection (8)(F) shall comply with the limits in the two rows below. Select Yes or No." sqref="C95" xr:uid="{FCDB6897-028E-424C-ADF2-AE1DA56E759B}">
      <formula1>"Yes,No"</formula1>
    </dataValidation>
    <dataValidation type="list" allowBlank="1" showErrorMessage="1" promptTitle="Section 8" prompt="Confirm multiple truck mix plants at the same site operating under the requirements in subsection (8)(E) and subsection (8)(F) shall comply with the limits in the two rows below. Select Yes or No." sqref="C98" xr:uid="{3543821F-1F3B-4A71-8547-99D9C8D5689E}">
      <formula1>"Yes,No"</formula1>
    </dataValidation>
    <dataValidation type="list" allowBlank="1" showErrorMessage="1" promptTitle="Section 8" prompt="Central mix plants shall comply with the limits in the two rows below. Select Yes or No." sqref="C101" xr:uid="{93AE38E4-06ED-421F-8ABC-9E04860018EA}">
      <formula1>"Yes,No"</formula1>
    </dataValidation>
    <dataValidation allowBlank="1" showErrorMessage="1" promptTitle="Section 8" prompt="Is this project for a temporary concrete batch plant approved to operate in or contiguous to the right-of-way of a public works project? Select Yes or No." sqref="C105" xr:uid="{E0D7DFB5-E9D3-4CAA-88E6-AEB28F97FF3A}"/>
    <dataValidation type="list" allowBlank="1" showErrorMessage="1" promptTitle="Section 8" prompt="Will the owner or operator shelter the drop point by an intact three-sided enclosure with a flexible shroud hanging from above the truck, or equivalent dust collection technology that extends below the mixer truck-receiving funnel? Select Yes or No." sqref="C108" xr:uid="{D6B73D16-E2A8-436E-95FE-BA44BAA4D136}">
      <formula1>"Yes,No"</formula1>
    </dataValidation>
    <dataValidation allowBlank="1" showErrorMessage="1" promptTitle="Section 8" prompt="Not an input. For alternative setback distances as per  (8)(A) Tables 2 and 3, in addition to subsection (8)(E), will the owner or operator of truck mix plants shall shelter the truck loading operation with a three-sided solid enclosure (see rule)" sqref="C109" xr:uid="{3089EB7D-D5A3-4EBE-8197-A2CC8C499D90}"/>
    <dataValidation allowBlank="1" showErrorMessage="1" promptTitle="Section 8" prompt="Not an input. " sqref="C110" xr:uid="{08F10729-AC74-44FF-BEDC-BE4538F3B8B8}"/>
    <dataValidation type="list" allowBlank="1" showErrorMessage="1" promptTitle="Section 8" prompt="Will the site use stationary equipment stockpiles, and vehicles used for the operation of the concrete batch plant (see rule)" sqref="C115" xr:uid="{C9D17DCE-2797-42D9-BA20-71F32620A10D}">
      <formula1>"Yes,No"</formula1>
    </dataValidation>
    <dataValidation type="list" allowBlank="1" showErrorMessage="1" promptTitle="Section 8" prompt="In lieu of meeting the distance requirements for roads and stockpiles of subsection (8)(H) of this standard permit, will the owner or operator construct and maintain in good working order (see rule)" sqref="C119" xr:uid="{F35F3474-14A3-47F1-BE0A-FDBA9A9F4CC3}">
      <formula1>"Yes,No"</formula1>
    </dataValidation>
    <dataValidation type="list" allowBlank="1" showErrorMessage="1" promptTitle="Section 8" prompt="Optional: Will the border be constructed to a height of at least 12 feet? Select Yes or No." sqref="C120" xr:uid="{FE58636F-14E3-48EC-BB3D-C31C55E5B41F}">
      <formula1>"Yes,No"</formula1>
    </dataValidation>
    <dataValidation type="list" allowBlank="1" showErrorMessage="1" promptTitle="Section 8" prompt="Optional: Will stockpiles be contained within a three-walled bunker that extends at least two feet above the top of the stockpile? Select Yes or No." sqref="C121" xr:uid="{2EF6E36E-CFFE-4D28-85B9-4C85E317730F}">
      <formula1>"Yes,No"</formula1>
    </dataValidation>
    <dataValidation type="list" allowBlank="1" showErrorMessage="1" promptTitle="Section 8" prompt="For permanent plants, will the owner or operator shall pave all entry and exit roads and main traffic routes associated with the operation of the concrete batch plant with a cohesive hard surface that shall be cleaned and maintained intact? " sqref="C122:C123" xr:uid="{6DA7CD45-5902-48A5-9319-8568EBE254B0}">
      <formula1>"Yes,No"</formula1>
    </dataValidation>
    <dataValidation operator="lessThanOrEqual" allowBlank="1" showDropDown="1" showErrorMessage="1" promptTitle="Section 10" prompt="Not an input.Appropriate TCEQ regional office may approve, without need of public notice referenced in section (4) of this standard permit, the relocation of a temporary concrete batch plant that has previously been determined by the commission (See rule)" sqref="C141" xr:uid="{700038CD-C435-4475-8F0F-47F0646AAD8F}"/>
    <dataValidation type="list" operator="lessThanOrEqual" allowBlank="1" showErrorMessage="1" promptTitle="Section 10" prompt="For relocations meeting subsection (10)(A) of this standard permit, has the owner or operator must submit to the regional office and any local air pollution control agency having jurisdiction at least 12 business days (see rule). Select Yes, No, or N/A." sqref="C144" xr:uid="{2A5A4B42-00B2-4B7A-A7ED-6AA760B4D291}">
      <formula1>"Yes, No, N/A"</formula1>
    </dataValidation>
    <dataValidation type="list" operator="lessThanOrEqual" allowBlank="1" showErrorMessage="1" promptTitle="Section 10" prompt="A scaled plot plan that identifies the location of all equipment and stockpiles, and also indicates that the required setback distances to the property lines can be met at the new location? Select Yes or No._x000a_" sqref="C145" xr:uid="{ED938C52-2FB8-42F8-83F3-CDE50CD49AEA}">
      <formula1>"Yes, No"</formula1>
    </dataValidation>
    <dataValidation type="list" operator="lessThanOrEqual" allowBlank="1" showErrorMessage="1" promptTitle="Section 10" prompt="Representation of maximum hourly and annual site production? Select Yes or No." sqref="C146" xr:uid="{23052BBC-9837-4F46-B52D-17CD30CA97BE}">
      <formula1>"Yes, No"</formula1>
    </dataValidation>
    <dataValidation type="list" operator="lessThanOrEqual" allowBlank="1" showErrorMessage="1" promptTitle="Section 10" prompt="A scaled area map that clearly indicates how the proposed site is contiguous or adjacent to the right-of-way of a public works project (if required)? Select Yes or No." sqref="C147" xr:uid="{D293295B-EDCF-42A8-B5FE-EFD48FBB7A70}">
      <formula1>"Yes, No"</formula1>
    </dataValidation>
    <dataValidation type="date" allowBlank="1" showErrorMessage="1" promptTitle="Section 10" prompt="The proposed date for start of construction and expected date for start of operation? Input date." sqref="C148" xr:uid="{AADF3172-F91E-4146-B120-83A828F39619}">
      <formula1>29221</formula1>
      <formula2>117955</formula2>
    </dataValidation>
    <dataValidation operator="lessThanOrEqual" allowBlank="1" showErrorMessage="1" promptTitle="Section 10" prompt="The expected time period at the proposed site? Input time period, include date (day, months, or years)." sqref="C150" xr:uid="{58A2E299-2A9D-4108-8EE0-865DD8132CEE}"/>
    <dataValidation type="list" operator="lessThanOrEqual" allowBlank="1" showErrorMessage="1" promptTitle="Section 10" prompt="The permit or registration number of the portable facility that was located at the proposed site any time during the last two years, and the date the facility was last located there? Select Yes or No." sqref="C151" xr:uid="{DFF1910E-8FFB-4A74-8E52-A6DB0ED8A5B9}">
      <formula1>"Yes, No"</formula1>
    </dataValidation>
    <dataValidation type="list" operator="lessThanOrEqual" allowBlank="1" showErrorMessage="1" promptTitle="Section 10" prompt="Has the proposed site had accomplished public notice, as required by 30 TAC Chapter 39? Select Yes or No." sqref="C152" xr:uid="{248E7558-55CC-4BEF-A98E-24629DFD4555}">
      <formula1>"Yes, No"</formula1>
    </dataValidation>
    <dataValidation type="list" operator="lessThanOrEqual" allowBlank="1" showErrorMessage="1" promptTitle="Section 10" prompt="Has the owner or operator shall submit a completed current TCEQ Regional Notification Standard Permit/PBR Relocation Form when applying to relocate a temporary concrete batch plant? Selecy Yes or No." sqref="C153" xr:uid="{F111D26D-1675-426F-A65C-52D65E3D5C27}">
      <formula1>"Yes, No"</formula1>
    </dataValidation>
    <dataValidation type="list" allowBlank="1" showErrorMessage="1" prompt="Are multiple concrete batch plants being operated on the same site? Select either Yes or No from the dropdown." sqref="C10:D10" xr:uid="{552D487C-C4D3-4850-BB45-B30C9759A1A8}">
      <formula1>Yes_No</formula1>
    </dataValidation>
    <dataValidation allowBlank="1" showErrorMessage="1" promptTitle="Section 8" prompt="Will the site use stationary equipment stockpiles, and vehicles used for the operation of the concrete batch plant (see rule)" sqref="C116:C118" xr:uid="{2A95B18D-4975-4E27-B25E-52B64400C65B}"/>
    <dataValidation allowBlank="1" showErrorMessage="1" promptTitle="Section 5" prompt="Not an input. Are multiple concrete batch plants being operated on the same site?" sqref="C56" xr:uid="{981531AC-44C5-4597-8F70-9200EC214BEF}"/>
    <dataValidation type="list" allowBlank="1" showErrorMessage="1" prompt="Will the owner or operator of truck mix plant(s) shelter the truck loading operation with a three-sided solid enclosure or equivalent that extends from the ground level to three feet above the truck-receiving funnel? Select Yes or No from the dropdown." sqref="C8:D9" xr:uid="{359F2BF4-70E0-43A7-A8A5-D7883472D4A9}">
      <formula1>Yes_No</formula1>
    </dataValidation>
    <dataValidation type="list" allowBlank="1" showErrorMessage="1" promptTitle="Section 5" prompt="Select a second control method if applicable._x000a_Watering, Treated with dust-suppressant chemicals, coverering with a material or tire chips, or paved with a cohesive hard surface that is maintained intact and cleaned, or N/A." sqref="C43" xr:uid="{B6545D17-7C7E-4B37-ABDC-66E766F1D1B5}">
      <formula1>RoadcontrolAlt</formula1>
    </dataValidation>
    <dataValidation type="list" allowBlank="1" showErrorMessage="1" promptTitle="Section 5" prompt="Select a fourth control method if applicable._x000a_Watering, Treated with dust-suppressant chemicals, coverering with a material or tire chips, or paved with a cohesive hard surface that is maintained intact and cleaned, or N/A." sqref="C45" xr:uid="{BFDF856B-3743-47AD-B2AA-06BEA5A46842}">
      <formula1>RoadcontrolAlt</formula1>
    </dataValidation>
    <dataValidation allowBlank="1" showErrorMessage="1" promptTitle="Section 8" prompt="Production Rates single truck mix plant with shrouded mixer truck-receiving funnel. (yd3/hour)" sqref="C93" xr:uid="{368A1C3F-E2BE-43F3-BA12-A12B98C0C3DE}"/>
    <dataValidation allowBlank="1" showErrorMessage="1" promptTitle="Section 8" prompt="Setback Distances single truck mix plant with shrouded mixer truck-receiving funnel. (ft)" sqref="C94" xr:uid="{FB245961-9BE4-4EFA-B250-D27F1FB3E1DE}"/>
    <dataValidation allowBlank="1" showErrorMessage="1" promptTitle="Section 8" prompt="Production Rates single truck mix plant with shrouded mixer truck-receiving funnel and enclosure. (yd3/hour)" sqref="C96" xr:uid="{1B806299-651C-4899-B9FE-39EB56DE8B19}"/>
    <dataValidation allowBlank="1" showErrorMessage="1" promptTitle="Section 8" prompt="Setback Distances single truck mix plant with shrouded mixer truck-receiving funnel and enclosure. (ft)" sqref="C97" xr:uid="{5E345828-DEC1-44FE-AD0A-F688CCFE80E2}"/>
    <dataValidation allowBlank="1" showErrorMessage="1" promptTitle="Section 8" prompt="Production Rates multiple truck mix plants at a single site with enclosure. (yd3/hour)" sqref="C99" xr:uid="{26422F8D-DE5E-406B-B2A4-B99DCF43F3B9}"/>
    <dataValidation allowBlank="1" showInputMessage="1" showErrorMessage="1" promptTitle="Section 8" sqref="C100" xr:uid="{D46DC99D-4C0E-4EC3-A0B0-97A989081A76}"/>
    <dataValidation allowBlank="1" showErrorMessage="1" promptTitle="Section 8" prompt="Production Rates central mix plants. (yd3/hour)" sqref="C102" xr:uid="{7F46BBA9-FF5B-47DE-AB93-8538990B0A20}"/>
    <dataValidation allowBlank="1" showErrorMessage="1" promptTitle="Section 8" prompt="Setback Distances central mix plants. (ft)" sqref="C103" xr:uid="{D5E981D7-B7E5-4EB2-BDEB-11ACC96B7478}"/>
    <dataValidation type="decimal" operator="lessThanOrEqual" allowBlank="1" showErrorMessage="1" promptTitle="Section 9" prompt="Max annual production rate limit (yd3/hr)" sqref="C129" xr:uid="{2D2F8FFF-B939-4328-A6C9-0638D0F641B3}">
      <formula1>J129</formula1>
    </dataValidation>
    <dataValidation type="list" allowBlank="1" showErrorMessage="1" promptTitle="Section 4" prompt="Is this a portable facility moving to a site for support of a public works project in which the proposed site is located in or contiguous to the right-of-way of the public works project? Select  either Yes or No from the drop down." sqref="C19" xr:uid="{DF3AB14A-BB35-4251-9B59-81DF27C6D6CC}">
      <formula1>"Yes, No"</formula1>
    </dataValidation>
    <dataValidation type="decimal" operator="lessThanOrEqual" allowBlank="1" showErrorMessage="1" promptTitle="Section 9" prompt="How many cubic yards per hour will be produced by this plant? Enter the cubic yards per hour produced by this plant" sqref="C128" xr:uid="{557B366C-459E-48BD-A0F5-F5CDA3EDE5F8}">
      <formula1>60</formula1>
    </dataValidation>
    <dataValidation type="list" allowBlank="1" showErrorMessage="1" promptTitle="Section 5" prompt="Select a second control method, if applicable. Either:_x000a_sprinkling with water, sprinkling with dust-suppresent chemicals, or covered." sqref="C49" xr:uid="{7ED742A3-4A8E-4455-B659-412C83C14998}">
      <formula1>"Yes, No"</formula1>
    </dataValidation>
    <dataValidation type="list" operator="lessThanOrEqual" allowBlank="1" showErrorMessage="1" promptTitle="Section 6" prompt="Will the permit comply with Any other applicable state or federal regulation for stationary compression ingnition internal comubstion engines? Select Yes or No from the dropdown." sqref="C78" xr:uid="{F9ADDFBE-2E21-48DF-8D27-E00B2F109138}">
      <formula1>"Yes,No"</formula1>
    </dataValidation>
    <dataValidation type="list" operator="lessThanOrEqual" allowBlank="1" showErrorMessage="1" promptTitle="Section 6" prompt="Are the engine exhaust stacks a minimum of eight feet tall? Select Yes or No from the dropdown." sqref="C79" xr:uid="{3D7BAD46-7BFC-4A4C-9E6F-AC04B067B520}">
      <formula1>"Yes,No"</formula1>
    </dataValidation>
    <dataValidation type="list" operator="lessThanOrEqual" allowBlank="1" showErrorMessage="1" promptTitle="Section 6" prompt="Will the permit comply with applicable engine requirements in 40 CFR 60 Subpart IIII, Standards of Performance for Stationary Compression Ignition Internal Combustion Engines?  Select Yes or No from the dropdown." sqref="C75" xr:uid="{5FCA8E5B-5AFA-4277-94A0-1509B588683C}">
      <formula1>"Yes,No"</formula1>
    </dataValidation>
    <dataValidation type="list" operator="lessThanOrEqual" allowBlank="1" showErrorMessage="1" promptTitle="Section 6" prompt="Will the permit comply with 40 CFR 63, Subpart ZZZZ, National Emissions Standards for Hazardous Air Pollutants for Stationary Reciprocating Internal Combustion Engines.  Select Yes or No from the dropdown." sqref="C76" xr:uid="{660C751D-4CA4-466E-B738-611731299E38}">
      <formula1>"Yes,No"</formula1>
    </dataValidation>
    <dataValidation type="list" operator="lessThanOrEqual" allowBlank="1" showErrorMessage="1" promptTitle="Section 6" prompt="Will the permit comply with 30 TAC Chapter 117, Control of Air Pollution from Nitrogen Compounds? Select Yes or No from the dropdown." sqref="C77" xr:uid="{905E657D-359D-44EE-B066-8CF99D805392}">
      <formula1>"Yes,No"</formula1>
    </dataValidation>
    <dataValidation type="list" operator="lessThanOrEqual" allowBlank="1" showErrorMessage="1" promptTitle="Section 6" prompt="Are any engines being authorized in this registration? Select Yes or No from the dropdown." sqref="C72" xr:uid="{AD5585D1-C4F4-49B8-8E3E-8E1E14332DB4}">
      <formula1>"Yes,No"</formula1>
    </dataValidation>
    <dataValidation allowBlank="1" showErrorMessage="1" promptTitle="Section 6" prompt="Not an input.  Question is addressed at the top of the workbook, and reittereated here in the form of the rule." sqref="C83" xr:uid="{5B2135BC-06BC-4D5F-B9F6-4064BACD80EC}"/>
    <dataValidation operator="lessThanOrEqual" allowBlank="1" showDropDown="1" showErrorMessage="1" promptTitle="Section 6" prompt="Not an input. Will all claims under this standard permit comply with the following?: " sqref="C74" xr:uid="{9AAF6360-46A7-4BF7-A657-382EEF641637}"/>
    <dataValidation operator="lessThanOrEqual" allowBlank="1" showDropDown="1" showErrorMessage="1" promptTitle="Section 5" prompt="Not an Input - Will all claims under this standard permit comply with the following?: " sqref="C60" xr:uid="{9F69919F-53AB-4625-8062-82493A8FDC93}"/>
    <dataValidation allowBlank="1" showErrorMessage="1" prompt="Not an input. Link to a previous response generated. Type of plant." sqref="C6:D6" xr:uid="{EDF50610-E3D2-400A-9C12-F42ED4E98E20}"/>
    <dataValidation allowBlank="1" showErrorMessage="1" promptTitle="Section 4" prompt="Not an input. Link to a previous response generated." sqref="C22" xr:uid="{2BB29FD6-8CA7-4351-8E7A-34BB59BD2B29}"/>
    <dataValidation allowBlank="1" showErrorMessage="1" promptTitle="Section 8" prompt="Not an input. Is this project for a temporary concrete batch plant approved to operate in or contiguous to the right-of-way of a public works project?" sqref="C104" xr:uid="{0F3B9DEF-04DB-4324-B47A-CC1D828BE2B7}"/>
    <dataValidation allowBlank="1" showErrorMessage="1" promptTitle="Section 10" prompt="Not an input. Is a registered portable facility and associated equipment moving to a site for support of a public works project in which the proposed site is located in or contiguous to the right-of-way of the public works project?" sqref="C142" xr:uid="{F6D47E6A-E0CC-49A9-B5DA-19C01181842F}"/>
    <dataValidation allowBlank="1" showErrorMessage="1" promptTitle="Section 10" prompt="Not an input. Is a registered portable facility moving to a site in which a portable facility has been located at the site at any time during the previous two years and the site was subject to public notice? " sqref="C143" xr:uid="{A21DD58B-545D-481B-8040-9B21C9E0B395}"/>
    <dataValidation type="date" allowBlank="1" showErrorMessage="1" promptTitle="Section 10" prompt="Expected date for start of operation? Input date." sqref="C149" xr:uid="{29645F26-B035-4295-B45F-254AA9CA35A7}">
      <formula1>29221</formula1>
      <formula2>117955</formula2>
    </dataValidation>
  </dataValidations>
  <hyperlinks>
    <hyperlink ref="A4:C4" location="'6004Requirements'!A1" display="Air Quality Standard Permit for Concrete Batch Plants" xr:uid="{00000000-0004-0000-0200-000000000000}"/>
    <hyperlink ref="A2" location="'PI-1S-CBP'!A1" display="Click here to go back to the PI-1S-CBP sheet." xr:uid="{7D333E3F-AAC1-4CBF-8431-2AE3AC8728AD}"/>
    <hyperlink ref="A154:E154" location="'6008Checklist'!A1" display="Click here to go to the 6008 Checklist sheet." xr:uid="{F60C465C-FE92-4F73-A5D4-3F3D54048535}"/>
  </hyperlinks>
  <pageMargins left="0.25" right="0.25" top="1" bottom="0.5" header="0.3" footer="0.3"/>
  <pageSetup scale="70" fitToHeight="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ignoredErrors>
    <ignoredError sqref="C18:C22" calculatedColumn="1"/>
  </ignoredErrors>
  <tableParts count="8">
    <tablePart r:id="rId2"/>
    <tablePart r:id="rId3"/>
    <tablePart r:id="rId4"/>
    <tablePart r:id="rId5"/>
    <tablePart r:id="rId6"/>
    <tablePart r:id="rId7"/>
    <tablePart r:id="rId8"/>
    <tablePart r:id="rId9"/>
  </tableParts>
  <extLst>
    <ext xmlns:x14="http://schemas.microsoft.com/office/spreadsheetml/2009/9/main" uri="{78C0D931-6437-407d-A8EE-F0AAD7539E65}">
      <x14:conditionalFormattings>
        <x14:conditionalFormatting xmlns:xm="http://schemas.microsoft.com/office/excel/2006/main">
          <x14:cfRule type="expression" priority="2" id="{00000000-000E-0000-0300-000001000000}">
            <xm:f>'PI-1S-CBP'!$B$6= "I disagree"</xm:f>
            <x14:dxf>
              <font>
                <color theme="0" tint="-0.499984740745262"/>
              </font>
              <fill>
                <patternFill>
                  <bgColor theme="0" tint="-0.499984740745262"/>
                </patternFill>
              </fill>
            </x14:dxf>
          </x14:cfRule>
          <x14:cfRule type="expression" priority="12" id="{00000000-000E-0000-0300-00000B000000}">
            <xm:f>'PI-1S-CBP'!$B$11&lt;&gt;""</xm:f>
            <x14:dxf>
              <numFmt numFmtId="166" formatCode=";;;"/>
              <fill>
                <patternFill>
                  <bgColor theme="0" tint="-0.499984740745262"/>
                </patternFill>
              </fill>
            </x14:dxf>
          </x14:cfRule>
          <xm:sqref>A1:E153</xm:sqref>
        </x14:conditionalFormatting>
      </x14:conditionalFormattings>
    </ext>
    <ext xmlns:x14="http://schemas.microsoft.com/office/spreadsheetml/2009/9/main" uri="{CCE6A557-97BC-4b89-ADB6-D9C93CAAB3DF}">
      <x14:dataValidations xmlns:xm="http://schemas.microsoft.com/office/excel/2006/main" xWindow="617" yWindow="651" count="9">
        <x14:dataValidation type="list" allowBlank="1" showErrorMessage="1" promptTitle="Section 5" prompt="Select third method, if applicable._x000a_More than one may be selected using the following rows. Select from the dropdown options. Dropdown options change based on the type of plant selected." xr:uid="{6F0F6869-0988-48B7-8D95-C6F17DC1C4F7}">
          <x14:formula1>
            <xm:f>IF($C$6="specialty",Specialty60045A,Reference!$U$15:$U$17)</xm:f>
          </x14:formula1>
          <xm:sqref>C30</xm:sqref>
        </x14:dataValidation>
        <x14:dataValidation type="list" allowBlank="1" showErrorMessage="1" promptTitle="Section 5" prompt="Select second method if applicable._x000a_More than one may be selected using the following rows. Select from the dropdown options. Dropdown options change based on the type of plant selected." xr:uid="{1DCED875-8CF0-4948-9B9E-DD92D3978E05}">
          <x14:formula1>
            <xm:f>IF($C$6="specialty",Specialty60045A,Reference!$U$15:$U$17)</xm:f>
          </x14:formula1>
          <xm:sqref>C29</xm:sqref>
        </x14:dataValidation>
        <x14:dataValidation type="list" allowBlank="1" showErrorMessage="1" promptTitle="Section 8" prompt="Option: Select fourth method used to prevent tracking of sediment onto adjacent roadways and reduce generation of dust." xr:uid="{DCFB4D7E-31C6-4468-9572-DCE56C1B3B21}">
          <x14:formula1>
            <xm:f>Reference!$W$15:$W$18</xm:f>
          </x14:formula1>
          <xm:sqref>C114</xm:sqref>
        </x14:dataValidation>
        <x14:dataValidation type="list" allowBlank="1" showErrorMessage="1" promptTitle="Section 5" prompt="Select a control device_x000a_Watering_x000a_Treated with dust-suppressant chemicals_x000a_Covered with a material/ tire chips and used in such as roofing shingles combination with (i)/(ii) above_x000a_Paved with a cohesive hard surface that is maintained intact and cleaned._x000a__x000a_" xr:uid="{97199A48-3FB4-4AF5-BDAD-02F933CD81AB}">
          <x14:formula1>
            <xm:f>Reference!$L$20:$L$22</xm:f>
          </x14:formula1>
          <xm:sqref>C42</xm:sqref>
        </x14:dataValidation>
        <x14:dataValidation type="list" allowBlank="1" showErrorMessage="1" promptTitle="Section 9" prompt="Select a control method for dust emissions. Either_x000a_Suction shroud or other pickup device delivering air to a fabric or cartridge filter, enclosed batch mixer feed, or conducting the entire mixing operation inside an enclosed process building." xr:uid="{0BB9745E-93BF-43F5-A200-45366C7C453C}">
          <x14:formula1>
            <xm:f>Reference!$N$15:$N$18</xm:f>
          </x14:formula1>
          <xm:sqref>C132</xm:sqref>
        </x14:dataValidation>
        <x14:dataValidation type="list" allowBlank="1" showErrorMessage="1" promptTitle="Section 5" prompt="How will the weigh hopper be vented? More than one may be selected using the following rows. Select an option from the dropdown. Dropdown options change based on the type of plant selected." xr:uid="{3C428DB4-DE40-4795-BBED-2F38E3FE2F6E}">
          <x14:formula1>
            <xm:f>IF($C$6="specialty",Specialty60045A,Reference!$U$16:$U$17)</xm:f>
          </x14:formula1>
          <xm:sqref>C28</xm:sqref>
        </x14:dataValidation>
        <x14:dataValidation type="list" allowBlank="1" showErrorMessage="1" promptTitle="Section 8" prompt="Option: Select second method used to prevent tracking of sediment onto adjacent roadways and reduce generation of dust." xr:uid="{20B90E95-A78E-45D6-96A4-C71055F3C449}">
          <x14:formula1>
            <xm:f>Reference!$W$15:$W$18</xm:f>
          </x14:formula1>
          <xm:sqref>C112</xm:sqref>
        </x14:dataValidation>
        <x14:dataValidation type="list" allowBlank="1" showErrorMessage="1" promptTitle="Section 8" prompt="Option: Select first method used to prevent tracking of sediment onto adjacent roadways and reduce generation of dust." xr:uid="{DC99D8FF-41E6-493B-99D9-336582763D63}">
          <x14:formula1>
            <xm:f>Reference!$W$15:$W$18</xm:f>
          </x14:formula1>
          <xm:sqref>C111</xm:sqref>
        </x14:dataValidation>
        <x14:dataValidation type="list" allowBlank="1" showErrorMessage="1" promptTitle="Section 8" prompt="Option: Select third method used to prevent tracking of sediment onto adjacent roadways and reduce generation of dust." xr:uid="{4B1B6D0B-C6DB-4E36-8B14-5A48DA37C7DD}">
          <x14:formula1>
            <xm:f>Reference!$W$15:$W$18</xm:f>
          </x14:formula1>
          <xm:sqref>C113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DCDC"/>
  </sheetPr>
  <dimension ref="A1:L43"/>
  <sheetViews>
    <sheetView showGridLines="0" zoomScaleNormal="100" workbookViewId="0">
      <selection sqref="A1:D1"/>
    </sheetView>
  </sheetViews>
  <sheetFormatPr defaultColWidth="0" defaultRowHeight="12.75" zeroHeight="1" x14ac:dyDescent="0.2"/>
  <cols>
    <col min="1" max="1" width="21.5703125" customWidth="1"/>
    <col min="2" max="2" width="57.140625" customWidth="1"/>
    <col min="3" max="3" width="31.85546875" customWidth="1"/>
    <col min="4" max="4" width="38.7109375" customWidth="1"/>
    <col min="5" max="5" width="41.7109375" customWidth="1"/>
    <col min="6" max="6" width="49.5703125" hidden="1" customWidth="1"/>
    <col min="7" max="8" width="0" hidden="1" customWidth="1"/>
    <col min="9" max="16384" width="9.140625" hidden="1"/>
  </cols>
  <sheetData>
    <row r="1" spans="1:12" s="146" customFormat="1" ht="36" customHeight="1" thickBot="1" x14ac:dyDescent="0.25">
      <c r="A1" s="693" t="s">
        <v>28</v>
      </c>
      <c r="B1" s="694"/>
      <c r="C1" s="694"/>
      <c r="D1" s="695"/>
      <c r="E1" s="36" t="s">
        <v>46</v>
      </c>
      <c r="F1" s="145" t="s">
        <v>207</v>
      </c>
    </row>
    <row r="2" spans="1:12" ht="15" customHeight="1" thickBot="1" x14ac:dyDescent="0.25">
      <c r="A2" s="753" t="s">
        <v>421</v>
      </c>
      <c r="B2" s="754"/>
      <c r="C2" s="754"/>
      <c r="D2" s="755"/>
      <c r="E2" s="138"/>
      <c r="F2" s="19"/>
    </row>
    <row r="3" spans="1:12" ht="75" customHeight="1" thickBot="1" x14ac:dyDescent="0.25">
      <c r="A3" s="696" t="s">
        <v>422</v>
      </c>
      <c r="B3" s="697"/>
      <c r="C3" s="697"/>
      <c r="D3" s="698"/>
      <c r="E3" s="77" t="s">
        <v>53</v>
      </c>
      <c r="F3" s="43" t="s">
        <v>212</v>
      </c>
      <c r="G3" s="1"/>
      <c r="H3" s="1"/>
    </row>
    <row r="4" spans="1:12" ht="16.5" customHeight="1" x14ac:dyDescent="0.2">
      <c r="A4" s="699" t="s">
        <v>44</v>
      </c>
      <c r="B4" s="700"/>
      <c r="C4" s="700"/>
      <c r="D4" s="701"/>
      <c r="E4" s="53"/>
      <c r="F4" s="43" t="s">
        <v>214</v>
      </c>
      <c r="G4" s="1"/>
      <c r="H4" s="1"/>
    </row>
    <row r="5" spans="1:12" ht="15" customHeight="1" thickBot="1" x14ac:dyDescent="0.25">
      <c r="A5" s="577" t="s">
        <v>215</v>
      </c>
      <c r="B5" s="751"/>
      <c r="C5" s="751"/>
      <c r="D5" s="752"/>
      <c r="E5" s="20"/>
      <c r="F5" s="43"/>
      <c r="G5" s="1"/>
      <c r="H5" s="1"/>
    </row>
    <row r="6" spans="1:12" ht="15" customHeight="1" thickBot="1" x14ac:dyDescent="0.25">
      <c r="A6" s="687" t="s">
        <v>216</v>
      </c>
      <c r="B6" s="688"/>
      <c r="C6" s="691"/>
      <c r="D6" s="692"/>
      <c r="E6" s="20"/>
      <c r="F6" s="43"/>
      <c r="G6" s="1"/>
      <c r="H6" s="1"/>
    </row>
    <row r="7" spans="1:12" ht="15" customHeight="1" thickBot="1" x14ac:dyDescent="0.25">
      <c r="A7" s="662"/>
      <c r="B7" s="663"/>
      <c r="C7" s="663"/>
      <c r="D7" s="759"/>
      <c r="E7" s="20"/>
      <c r="F7" s="43"/>
      <c r="G7" s="1"/>
      <c r="H7" s="1"/>
    </row>
    <row r="8" spans="1:12" ht="18" customHeight="1" thickBot="1" x14ac:dyDescent="0.25">
      <c r="A8" s="756" t="s">
        <v>423</v>
      </c>
      <c r="B8" s="757"/>
      <c r="C8" s="757"/>
      <c r="D8" s="758"/>
      <c r="E8" s="20"/>
      <c r="F8" s="43"/>
      <c r="G8" s="1"/>
      <c r="H8" s="1"/>
    </row>
    <row r="9" spans="1:12" ht="18" customHeight="1" thickBot="1" x14ac:dyDescent="0.25">
      <c r="A9" s="111" t="s">
        <v>222</v>
      </c>
      <c r="B9" s="112" t="s">
        <v>223</v>
      </c>
      <c r="C9" s="113" t="s">
        <v>71</v>
      </c>
      <c r="D9" s="113" t="s">
        <v>224</v>
      </c>
      <c r="E9" s="20"/>
      <c r="F9" s="43"/>
      <c r="G9" s="1"/>
      <c r="H9" s="1"/>
    </row>
    <row r="10" spans="1:12" ht="30" customHeight="1" thickBot="1" x14ac:dyDescent="0.25">
      <c r="A10" s="125" t="s">
        <v>424</v>
      </c>
      <c r="B10" s="122" t="s">
        <v>425</v>
      </c>
      <c r="C10" s="126"/>
      <c r="D10" s="124" t="str">
        <f>IF(C10="no","This project does not meet the requirements of the Standard Permit.","N/A")</f>
        <v>N/A</v>
      </c>
      <c r="E10" s="20"/>
      <c r="F10" s="43"/>
      <c r="G10" s="1"/>
      <c r="H10" s="1"/>
    </row>
    <row r="11" spans="1:12" ht="15" customHeight="1" thickBot="1" x14ac:dyDescent="0.25">
      <c r="A11" s="762"/>
      <c r="B11" s="762"/>
      <c r="C11" s="762"/>
      <c r="D11" s="763"/>
      <c r="E11" s="20"/>
      <c r="F11" s="43"/>
      <c r="G11" s="1"/>
      <c r="H11" s="1"/>
    </row>
    <row r="12" spans="1:12" ht="18" customHeight="1" thickBot="1" x14ac:dyDescent="0.25">
      <c r="A12" s="712" t="s">
        <v>426</v>
      </c>
      <c r="B12" s="713"/>
      <c r="C12" s="713"/>
      <c r="D12" s="714"/>
      <c r="E12" s="20"/>
      <c r="F12" s="43"/>
      <c r="G12" s="1"/>
      <c r="H12" s="1"/>
    </row>
    <row r="13" spans="1:12" ht="18" customHeight="1" thickBot="1" x14ac:dyDescent="0.25">
      <c r="A13" s="111" t="s">
        <v>222</v>
      </c>
      <c r="B13" s="112" t="s">
        <v>223</v>
      </c>
      <c r="C13" s="113" t="s">
        <v>71</v>
      </c>
      <c r="D13" s="113" t="s">
        <v>224</v>
      </c>
      <c r="E13" s="119"/>
      <c r="F13" s="96"/>
      <c r="G13" s="96"/>
      <c r="H13" s="97"/>
      <c r="I13" s="20"/>
      <c r="J13" s="43"/>
      <c r="K13" s="1"/>
      <c r="L13" s="1"/>
    </row>
    <row r="14" spans="1:12" ht="30" customHeight="1" thickBot="1" x14ac:dyDescent="0.25">
      <c r="A14" s="121" t="s">
        <v>427</v>
      </c>
      <c r="B14" s="122" t="s">
        <v>428</v>
      </c>
      <c r="C14" s="123"/>
      <c r="D14" s="124" t="str">
        <f>IF(C14="no","This project does not meet the requirements of the Standard Permit.","N/A")</f>
        <v>N/A</v>
      </c>
      <c r="E14" s="20"/>
      <c r="F14" s="43"/>
      <c r="G14" s="1"/>
      <c r="H14" s="1"/>
    </row>
    <row r="15" spans="1:12" ht="15" customHeight="1" thickBot="1" x14ac:dyDescent="0.25">
      <c r="A15" s="760"/>
      <c r="B15" s="760"/>
      <c r="C15" s="760"/>
      <c r="D15" s="761"/>
      <c r="E15" s="20"/>
      <c r="F15" s="43"/>
      <c r="G15" s="1"/>
      <c r="H15" s="1"/>
    </row>
    <row r="16" spans="1:12" ht="18" customHeight="1" thickBot="1" x14ac:dyDescent="0.25">
      <c r="A16" s="712" t="s">
        <v>429</v>
      </c>
      <c r="B16" s="713"/>
      <c r="C16" s="713"/>
      <c r="D16" s="714"/>
      <c r="E16" s="20"/>
      <c r="F16" s="43"/>
      <c r="G16" s="1"/>
      <c r="H16" s="1"/>
    </row>
    <row r="17" spans="1:12" ht="18" customHeight="1" thickBot="1" x14ac:dyDescent="0.25">
      <c r="A17" s="111" t="s">
        <v>222</v>
      </c>
      <c r="B17" s="112" t="s">
        <v>223</v>
      </c>
      <c r="C17" s="113" t="s">
        <v>71</v>
      </c>
      <c r="D17" s="113" t="s">
        <v>224</v>
      </c>
      <c r="E17" s="119"/>
      <c r="F17" s="96"/>
      <c r="G17" s="96"/>
      <c r="H17" s="97"/>
      <c r="I17" s="20"/>
      <c r="J17" s="43"/>
      <c r="K17" s="1"/>
      <c r="L17" s="1"/>
    </row>
    <row r="18" spans="1:12" ht="30" customHeight="1" x14ac:dyDescent="0.2">
      <c r="A18" s="127" t="s">
        <v>430</v>
      </c>
      <c r="B18" s="64" t="s">
        <v>431</v>
      </c>
      <c r="C18" s="27"/>
      <c r="D18" s="283" t="s">
        <v>232</v>
      </c>
      <c r="E18" s="20"/>
      <c r="F18" s="49"/>
      <c r="G18" s="49"/>
      <c r="H18" s="49"/>
    </row>
    <row r="19" spans="1:12" ht="30" customHeight="1" x14ac:dyDescent="0.2">
      <c r="A19" s="30" t="s">
        <v>432</v>
      </c>
      <c r="B19" s="50" t="s">
        <v>433</v>
      </c>
      <c r="C19" s="52"/>
      <c r="D19" s="165" t="str">
        <f>IF(C19="no","This project does not meet the requirements of the Standard Permit.","N/A")</f>
        <v>N/A</v>
      </c>
      <c r="E19" s="20"/>
      <c r="F19" s="49"/>
      <c r="G19" s="49"/>
      <c r="H19" s="49"/>
    </row>
    <row r="20" spans="1:12" ht="30" customHeight="1" x14ac:dyDescent="0.2">
      <c r="A20" s="30" t="s">
        <v>434</v>
      </c>
      <c r="B20" s="50" t="s">
        <v>435</v>
      </c>
      <c r="C20" s="65"/>
      <c r="D20" s="128" t="s">
        <v>232</v>
      </c>
      <c r="E20" s="20"/>
      <c r="F20" s="49"/>
      <c r="G20" s="49"/>
      <c r="H20" s="49"/>
    </row>
    <row r="21" spans="1:12" ht="30" customHeight="1" x14ac:dyDescent="0.2">
      <c r="A21" s="30" t="s">
        <v>436</v>
      </c>
      <c r="B21" s="50" t="s">
        <v>437</v>
      </c>
      <c r="C21" s="65"/>
      <c r="D21" s="165" t="str">
        <f>IF(C21="no","This project does not meet the requirements of the Standard Permit.","N/A")</f>
        <v>N/A</v>
      </c>
      <c r="E21" s="20"/>
      <c r="F21" s="49"/>
      <c r="G21" s="49"/>
      <c r="H21" s="49"/>
    </row>
    <row r="22" spans="1:12" ht="45" customHeight="1" x14ac:dyDescent="0.2">
      <c r="A22" s="30" t="s">
        <v>438</v>
      </c>
      <c r="B22" s="50" t="s">
        <v>439</v>
      </c>
      <c r="C22" s="65"/>
      <c r="D22" s="165" t="str">
        <f>IF(C22="no","This project does not meet the requirements of the Standard Permit.","N/A")</f>
        <v>N/A</v>
      </c>
      <c r="E22" s="20"/>
      <c r="F22" s="49"/>
      <c r="G22" s="49"/>
      <c r="H22" s="49"/>
    </row>
    <row r="23" spans="1:12" ht="30" customHeight="1" x14ac:dyDescent="0.2">
      <c r="A23" s="30" t="s">
        <v>440</v>
      </c>
      <c r="B23" s="50" t="s">
        <v>441</v>
      </c>
      <c r="C23" s="65"/>
      <c r="D23" s="165" t="str">
        <f>IF(C23="no","This project does not meet the requirements of the Standard Permit.","N/A")</f>
        <v>N/A</v>
      </c>
      <c r="E23" s="20"/>
      <c r="F23" s="49"/>
      <c r="G23" s="49"/>
      <c r="H23" s="49"/>
    </row>
    <row r="24" spans="1:12" ht="60" customHeight="1" x14ac:dyDescent="0.2">
      <c r="A24" s="30" t="s">
        <v>442</v>
      </c>
      <c r="B24" s="50" t="s">
        <v>443</v>
      </c>
      <c r="C24" s="65"/>
      <c r="D24" s="165" t="str">
        <f>IF(C24="yes","This project does not meet the requirements of the Standard Permit.","N/A")</f>
        <v>N/A</v>
      </c>
      <c r="E24" s="20"/>
      <c r="F24" s="50"/>
      <c r="G24" s="50"/>
      <c r="H24" s="50"/>
    </row>
    <row r="25" spans="1:12" ht="30" customHeight="1" x14ac:dyDescent="0.2">
      <c r="A25" s="30" t="s">
        <v>444</v>
      </c>
      <c r="B25" s="50" t="s">
        <v>445</v>
      </c>
      <c r="C25" s="29"/>
      <c r="D25" s="129" t="s">
        <v>232</v>
      </c>
      <c r="E25" s="20"/>
      <c r="F25" s="50"/>
      <c r="G25" s="50"/>
      <c r="H25" s="28"/>
    </row>
    <row r="26" spans="1:12" ht="60" customHeight="1" x14ac:dyDescent="0.2">
      <c r="A26" s="106" t="s">
        <v>446</v>
      </c>
      <c r="B26" s="50" t="s">
        <v>447</v>
      </c>
      <c r="C26" s="65"/>
      <c r="D26" s="165" t="str">
        <f>IF(C26="no","This project does not meet the requirements of the Standard Permit.","N/A")</f>
        <v>N/A</v>
      </c>
      <c r="E26" s="20"/>
      <c r="F26" s="50"/>
      <c r="G26" s="50"/>
      <c r="H26" s="28"/>
    </row>
    <row r="27" spans="1:12" ht="45" customHeight="1" x14ac:dyDescent="0.2">
      <c r="A27" s="106" t="s">
        <v>448</v>
      </c>
      <c r="B27" s="51" t="s">
        <v>449</v>
      </c>
      <c r="C27" s="65"/>
      <c r="D27" s="129" t="s">
        <v>232</v>
      </c>
      <c r="E27" s="20"/>
      <c r="F27" s="50"/>
      <c r="G27" s="50"/>
      <c r="H27" s="28"/>
    </row>
    <row r="28" spans="1:12" ht="15" customHeight="1" x14ac:dyDescent="0.2">
      <c r="A28" s="117" t="s">
        <v>448</v>
      </c>
      <c r="B28" s="51" t="s">
        <v>268</v>
      </c>
      <c r="C28" s="65"/>
      <c r="D28" s="129" t="s">
        <v>232</v>
      </c>
      <c r="E28" s="20"/>
      <c r="F28" s="50"/>
      <c r="G28" s="50"/>
      <c r="H28" s="28"/>
    </row>
    <row r="29" spans="1:12" ht="15" customHeight="1" x14ac:dyDescent="0.2">
      <c r="A29" s="116" t="s">
        <v>448</v>
      </c>
      <c r="B29" s="51" t="s">
        <v>269</v>
      </c>
      <c r="C29" s="65"/>
      <c r="D29" s="129" t="s">
        <v>232</v>
      </c>
      <c r="E29" s="20"/>
      <c r="F29" s="50"/>
      <c r="G29" s="50"/>
      <c r="H29" s="28"/>
    </row>
    <row r="30" spans="1:12" ht="30" customHeight="1" x14ac:dyDescent="0.2">
      <c r="A30" s="110" t="s">
        <v>450</v>
      </c>
      <c r="B30" s="50" t="s">
        <v>451</v>
      </c>
      <c r="C30" s="65"/>
      <c r="D30" s="165" t="str">
        <f>IF(C30="no","This project does not meet the requirements of the Standard Permit.","N/A")</f>
        <v>N/A</v>
      </c>
      <c r="E30" s="20"/>
      <c r="F30" s="50"/>
      <c r="G30" s="50"/>
      <c r="H30" s="28"/>
    </row>
    <row r="31" spans="1:12" ht="30" customHeight="1" x14ac:dyDescent="0.2">
      <c r="A31" s="106" t="s">
        <v>452</v>
      </c>
      <c r="B31" s="50" t="s">
        <v>453</v>
      </c>
      <c r="C31" s="65"/>
      <c r="D31" s="129" t="s">
        <v>232</v>
      </c>
      <c r="E31" s="20"/>
      <c r="F31" s="50"/>
      <c r="G31" s="50"/>
      <c r="H31" s="28"/>
    </row>
    <row r="32" spans="1:12" ht="30" customHeight="1" x14ac:dyDescent="0.2">
      <c r="A32" s="106" t="s">
        <v>454</v>
      </c>
      <c r="B32" s="51" t="s">
        <v>455</v>
      </c>
      <c r="C32" s="65"/>
      <c r="D32" s="129" t="s">
        <v>232</v>
      </c>
      <c r="E32" s="20"/>
      <c r="F32" s="50"/>
      <c r="G32" s="28"/>
      <c r="H32" s="28"/>
    </row>
    <row r="33" spans="1:8" ht="45" customHeight="1" x14ac:dyDescent="0.2">
      <c r="A33" s="116"/>
      <c r="B33" s="30" t="s">
        <v>456</v>
      </c>
      <c r="C33" s="29"/>
      <c r="D33" s="129" t="s">
        <v>232</v>
      </c>
      <c r="E33" s="20"/>
      <c r="F33" s="50"/>
      <c r="G33" s="50"/>
      <c r="H33" s="50"/>
    </row>
    <row r="34" spans="1:8" ht="30" customHeight="1" x14ac:dyDescent="0.2">
      <c r="A34" s="110" t="s">
        <v>457</v>
      </c>
      <c r="B34" s="50" t="s">
        <v>458</v>
      </c>
      <c r="C34" s="55"/>
      <c r="D34" s="129" t="s">
        <v>232</v>
      </c>
      <c r="E34" s="20"/>
      <c r="F34" s="50"/>
      <c r="G34" s="50"/>
      <c r="H34" s="50"/>
    </row>
    <row r="35" spans="1:8" ht="30" customHeight="1" x14ac:dyDescent="0.2">
      <c r="A35" s="106" t="s">
        <v>459</v>
      </c>
      <c r="B35" s="50" t="s">
        <v>460</v>
      </c>
      <c r="C35" s="55"/>
      <c r="D35" s="129" t="s">
        <v>232</v>
      </c>
      <c r="E35" s="20"/>
      <c r="F35" s="50"/>
      <c r="G35" s="50"/>
      <c r="H35" s="28"/>
    </row>
    <row r="36" spans="1:8" ht="30" customHeight="1" x14ac:dyDescent="0.2">
      <c r="A36" s="106" t="s">
        <v>461</v>
      </c>
      <c r="B36" s="30" t="s">
        <v>462</v>
      </c>
      <c r="C36" s="29"/>
      <c r="D36" s="129" t="s">
        <v>232</v>
      </c>
      <c r="E36" s="20"/>
      <c r="F36" s="50"/>
      <c r="G36" s="50"/>
      <c r="H36" s="28"/>
    </row>
    <row r="37" spans="1:8" ht="30" customHeight="1" x14ac:dyDescent="0.2">
      <c r="A37" s="117"/>
      <c r="B37" s="30" t="s">
        <v>463</v>
      </c>
      <c r="C37" s="29"/>
      <c r="D37" s="129" t="s">
        <v>232</v>
      </c>
      <c r="E37" s="20"/>
      <c r="F37" s="50"/>
      <c r="G37" s="50"/>
      <c r="H37" s="28"/>
    </row>
    <row r="38" spans="1:8" ht="60" customHeight="1" x14ac:dyDescent="0.2">
      <c r="A38" s="116"/>
      <c r="B38" s="30" t="s">
        <v>464</v>
      </c>
      <c r="C38" s="29"/>
      <c r="D38" s="129" t="s">
        <v>232</v>
      </c>
      <c r="E38" s="20"/>
      <c r="F38" s="50"/>
      <c r="G38" s="50"/>
      <c r="H38" s="50"/>
    </row>
    <row r="39" spans="1:8" ht="30" customHeight="1" x14ac:dyDescent="0.2">
      <c r="A39" s="106" t="s">
        <v>465</v>
      </c>
      <c r="B39" s="28" t="s">
        <v>466</v>
      </c>
      <c r="C39" s="55"/>
      <c r="D39" s="165" t="s">
        <v>232</v>
      </c>
      <c r="E39" s="20"/>
      <c r="F39" s="50"/>
      <c r="G39" s="50"/>
      <c r="H39" s="28"/>
    </row>
    <row r="40" spans="1:8" ht="60" customHeight="1" x14ac:dyDescent="0.2">
      <c r="A40" s="116" t="s">
        <v>465</v>
      </c>
      <c r="B40" s="50" t="s">
        <v>467</v>
      </c>
      <c r="C40" s="55"/>
      <c r="D40" s="129" t="s">
        <v>232</v>
      </c>
      <c r="E40" s="20"/>
      <c r="F40" s="50" t="s">
        <v>468</v>
      </c>
      <c r="G40" s="50"/>
      <c r="H40" s="50"/>
    </row>
    <row r="41" spans="1:8" ht="60" customHeight="1" x14ac:dyDescent="0.2">
      <c r="A41" s="30" t="s">
        <v>469</v>
      </c>
      <c r="B41" s="28" t="str">
        <f>IF(AND($C$36&gt;=100,$C$37&gt;=100,$C$38&gt;=100),"Optional: what is the minimum height of the dust suppressing fencing along each road, parking lot, and other traffic areas? (feet)","In lieu of meeting the distance requirements for roads and stockpiles in (3)(K)(ii), what is the minimum height of the dust suppressing fencing along each road, parking lot, and other traffic areas? (feet)")</f>
        <v>In lieu of meeting the distance requirements for roads and stockpiles in (3)(K)(ii), what is the minimum height of the dust suppressing fencing along each road, parking lot, and other traffic areas? (feet)</v>
      </c>
      <c r="C41" s="29"/>
      <c r="D41" s="129" t="s">
        <v>232</v>
      </c>
      <c r="E41" s="20"/>
      <c r="F41" s="50" t="s">
        <v>470</v>
      </c>
      <c r="G41" s="50"/>
      <c r="H41" s="50"/>
    </row>
    <row r="42" spans="1:8" ht="60" customHeight="1" thickBot="1" x14ac:dyDescent="0.25">
      <c r="A42" s="106" t="s">
        <v>471</v>
      </c>
      <c r="B42" s="130" t="str">
        <f>IF(AND($C$36&gt;=100,$C$37&gt;=100,$C$38&gt;=100),"Optional: What is the minimum height of the three-walled bunker containing each stock pile above the stockpile? (feet)","In lieu of meeting the distance requirements for roads and stockpiles in (3)(K)(ii), what is the minimum height of the three-walled bunker containing each stock pile above the stockpile? (feet)")</f>
        <v>In lieu of meeting the distance requirements for roads and stockpiles in (3)(K)(ii), what is the minimum height of the three-walled bunker containing each stock pile above the stockpile? (feet)</v>
      </c>
      <c r="C42" s="109"/>
      <c r="D42" s="131" t="s">
        <v>232</v>
      </c>
      <c r="E42" s="54"/>
      <c r="F42" s="50" t="s">
        <v>470</v>
      </c>
      <c r="G42" s="50"/>
      <c r="H42" s="50"/>
    </row>
    <row r="43" spans="1:8" ht="14.25" x14ac:dyDescent="0.2">
      <c r="A43" s="750" t="s">
        <v>472</v>
      </c>
      <c r="B43" s="750"/>
      <c r="C43" s="750"/>
      <c r="D43" s="750"/>
      <c r="E43" s="750"/>
    </row>
  </sheetData>
  <sheetProtection algorithmName="SHA-512" hashValue="MF7tNtBRvSynWhSgLtLu7zoWHcNitCKhCsNxbd5t6JnwLHFU4PjzXr65FgUNTGnS+m3sBBkvdf+rGwJMPDVNFg==" saltValue="rvt71isI123yvBhZoKcOLw==" spinCount="100000" sheet="1" objects="1" scenarios="1" formatColumns="0" formatRows="0" autoFilter="0"/>
  <mergeCells count="14">
    <mergeCell ref="A43:E43"/>
    <mergeCell ref="A6:B6"/>
    <mergeCell ref="C6:D6"/>
    <mergeCell ref="A1:D1"/>
    <mergeCell ref="A3:D3"/>
    <mergeCell ref="A4:D4"/>
    <mergeCell ref="A5:D5"/>
    <mergeCell ref="A2:D2"/>
    <mergeCell ref="A12:D12"/>
    <mergeCell ref="A8:D8"/>
    <mergeCell ref="A16:D16"/>
    <mergeCell ref="A7:D7"/>
    <mergeCell ref="A15:D15"/>
    <mergeCell ref="A11:D11"/>
  </mergeCells>
  <conditionalFormatting sqref="A40:D40">
    <cfRule type="expression" dxfId="67" priority="17">
      <formula>$C$39="Yes"</formula>
    </cfRule>
  </conditionalFormatting>
  <conditionalFormatting sqref="B29:D29">
    <cfRule type="expression" dxfId="64" priority="1">
      <formula>$C$28=""</formula>
    </cfRule>
  </conditionalFormatting>
  <conditionalFormatting sqref="C24">
    <cfRule type="expression" dxfId="63" priority="14">
      <formula>$C$24="Yes"</formula>
    </cfRule>
  </conditionalFormatting>
  <conditionalFormatting sqref="C26">
    <cfRule type="expression" dxfId="62" priority="13">
      <formula>$C$26="no"</formula>
    </cfRule>
  </conditionalFormatting>
  <conditionalFormatting sqref="C40:C42 C10 C14 C18:C23 C27:C38">
    <cfRule type="expression" dxfId="61" priority="29">
      <formula>OR($C10="no")</formula>
    </cfRule>
  </conditionalFormatting>
  <conditionalFormatting sqref="D10">
    <cfRule type="expression" dxfId="60" priority="9">
      <formula>$D$10=("N/A")</formula>
    </cfRule>
  </conditionalFormatting>
  <conditionalFormatting sqref="D14">
    <cfRule type="expression" dxfId="59" priority="7">
      <formula>$D$14=("N/A")</formula>
    </cfRule>
  </conditionalFormatting>
  <conditionalFormatting sqref="D24">
    <cfRule type="expression" dxfId="58" priority="3">
      <formula>$C$24="Yes"</formula>
    </cfRule>
  </conditionalFormatting>
  <conditionalFormatting sqref="D26">
    <cfRule type="expression" dxfId="57" priority="2">
      <formula>$C$26="no"</formula>
    </cfRule>
  </conditionalFormatting>
  <conditionalFormatting sqref="D27:D38 D10 D14 D18:D23 D40:D42">
    <cfRule type="expression" dxfId="56" priority="4">
      <formula>OR($C10="no")</formula>
    </cfRule>
  </conditionalFormatting>
  <dataValidations count="31">
    <dataValidation allowBlank="1" showInputMessage="1" showErrorMessage="1" prompt="If no or i disagree are selected, this application does not meet the requirements of the standard permit." sqref="D9 D13" xr:uid="{00000000-0002-0000-0300-000000000000}"/>
    <dataValidation type="list" allowBlank="1" showErrorMessage="1" prompt="Will you meet all of the requirements of Section 2 of the Standard Permit regarding public notice? Enter Yes or No" sqref="C14" xr:uid="{00000000-0002-0000-0300-000002000000}">
      <formula1>"Yes,No"</formula1>
    </dataValidation>
    <dataValidation type="list" allowBlank="1" showErrorMessage="1" prompt="What type of device will be installed to warn when silos are reaching capacity?_x000a_Select either:_x000a_Automatic shut-off device_x000a_Warning device_x000a_Automatic shut-off and warning device" sqref="C25" xr:uid="{00000000-0002-0000-0300-000003000000}">
      <formula1>"Automatic shut-off device,Warning device,Automatic shut-off device and warning device"</formula1>
    </dataValidation>
    <dataValidation type="decimal" operator="greaterThanOrEqual" allowBlank="1" showErrorMessage="1" error="Must be at least 5000" prompt="What is the average filtering velocity of the fabric or cartridge filter system for the suction shroud or other pickup device (acfm)? Enter the filtering velocity in acfm" sqref="C33" xr:uid="{00000000-0002-0000-0300-000004000000}">
      <formula1>5000</formula1>
    </dataValidation>
    <dataValidation operator="greaterThanOrEqual" allowBlank="1" showErrorMessage="1" prompt="What is the distance from the property line to the nearest area where vehicles will be used for the operation of the concrete batch plant (except for incidental traffic and the entrance and exit to the site)? Enter the distance in feet." sqref="C38" xr:uid="{00000000-0002-0000-0300-000005000000}"/>
    <dataValidation type="decimal" operator="greaterThanOrEqual" allowBlank="1" showErrorMessage="1" prompt="In lieu of meeting the distance requirements for roads and stockpiles in (3)(K)(ii), what is the minimum height of the dust suppressing fencing along each road, parking lot, and other traffic areas? Enter the barrier height in feet." sqref="C41" xr:uid="{00000000-0002-0000-0300-000006000000}">
      <formula1>IF(OR(C36&lt;100,C37&lt;100,C38&lt;100),12,0)</formula1>
    </dataValidation>
    <dataValidation type="decimal" operator="greaterThanOrEqual" allowBlank="1" showErrorMessage="1" prompt="In lieu of meeting the distance requirements for roads and stockpiles in (3)(K)(ii), what is the minimum height of the three-walled bunker containing each stock pile above the stockpile? Enter the bunker height in feet." sqref="C42" xr:uid="{00000000-0002-0000-0300-000007000000}">
      <formula1>IF(OR(C36&lt;100,C37&lt;100,C38&lt;100),2,0)</formula1>
    </dataValidation>
    <dataValidation type="list" allowBlank="1" showErrorMessage="1" prompt="How will cement/fly ash storage silos and weigh hoppers be vented? Select a vent option" sqref="C18" xr:uid="{00000000-0002-0000-0300-000008000000}">
      <formula1>"Fabric filter system,Cartridge filter system"</formula1>
    </dataValidation>
    <dataValidation type="decimal" operator="lessThanOrEqual" allowBlank="1" showErrorMessage="1" error="Must be less than or equal to 0.01 gr/dscf" prompt="What is the outlet rate of the filter systems (gr/dscf), excluding the suction shroud filter system? Enter the filter outlet rate" sqref="C20" xr:uid="{00000000-0002-0000-0300-000009000000}">
      <formula1>0.01</formula1>
    </dataValidation>
    <dataValidation type="list" allowBlank="1" showErrorMessage="1" prompt="Select a third control method, if applicable._x000a_Sprinkled with water_x000a_Dust-suppressed chemicals _x000a_Cover" sqref="C29" xr:uid="{00000000-0002-0000-0300-00000A000000}">
      <formula1>"Sprinkled with water,Dust-suppressant chemicals,Cover"</formula1>
    </dataValidation>
    <dataValidation type="decimal" operator="lessThanOrEqual" allowBlank="1" showErrorMessage="1" error="Must be less than or equal to 300" prompt="What is the rate of concrete production on site? Enter the production rate in cubic yards." sqref="C31" xr:uid="{00000000-0002-0000-0300-00000B000000}">
      <formula1>300</formula1>
    </dataValidation>
    <dataValidation type="list" allowBlank="1" showErrorMessage="1" prompt="What type of device will be installed at the batch drop point (or drum feed)?_x000a_Select a device:_x000a_Suction shroud_x000a_Other pickup device_x000a_" sqref="C32" xr:uid="{00000000-0002-0000-0300-00000C000000}">
      <formula1>"Suction shroud,Other pickup device"</formula1>
    </dataValidation>
    <dataValidation type="decimal" operator="greaterThanOrEqual" allowBlank="1" showErrorMessage="1" prompt="What is the distance from the property line to the suction shroud baghouse exhaust (feet)? Enter the distance in feet." sqref="C35" xr:uid="{00000000-0002-0000-0300-00000D000000}">
      <formula1>100</formula1>
    </dataValidation>
    <dataValidation type="decimal" operator="greaterThanOrEqual" allowBlank="1" showErrorMessage="1" error="Must be at least 99.5" prompt="What is the control efficiency of the bag filter and capture system? (as a percent) Enter the control efficiency as a percent." sqref="C34" xr:uid="{00000000-0002-0000-0300-00000E000000}">
      <formula1>99.5</formula1>
    </dataValidation>
    <dataValidation type="decimal" operator="greaterThanOrEqual" allowBlank="1" showErrorMessage="1" prompt="If there is no municipal zoning, what is the distance from the central baghouse to the nearest building used as a single or multifamily residence, school, or place of worship at the time your application is received by the TCEQ? Enter the distance in feet" sqref="C40" xr:uid="{00000000-0002-0000-0300-00000F000000}">
      <formula1>440</formula1>
    </dataValidation>
    <dataValidation type="list" allowBlank="1" showErrorMessage="1" prompt="Will the plant be located in an area subject to municipal zoning regulations? Select yes or no" sqref="C39" xr:uid="{00000000-0002-0000-0300-000010000000}">
      <formula1>"Yes,No"</formula1>
    </dataValidation>
    <dataValidation type="decimal" operator="greaterThanOrEqual" allowBlank="1" showErrorMessage="1" error="Must be at least 100 feet" prompt="What is the distance from the property line to the nearest piece of stationary equipment? Enter the distance in feet." sqref="C37" xr:uid="{498A2A8B-72AC-43A1-B4D1-15B80FB49992}">
      <formula1>100</formula1>
    </dataValidation>
    <dataValidation type="list" allowBlank="1" showErrorMessage="1" prompt="Select the type of operation" sqref="C6:D6" xr:uid="{13F11C71-73D7-486B-B759-0C4080E1A284}">
      <formula1>"Central Mix, Ready Mix"</formula1>
    </dataValidation>
    <dataValidation type="list" allowBlank="1" showErrorMessage="1" prompt="Will you meet all of the requirements of Section 1 of the Standard Permit regarding administrative requirements? Enter Yes or No" sqref="C10" xr:uid="{1D04E5A9-B177-48A7-8CEF-3396C9DABC2E}">
      <formula1>"Yes,No"</formula1>
    </dataValidation>
    <dataValidation type="list" allowBlank="1" showErrorMessage="1" prompt="Will the fabric/cartridge filter systems and suction shroud be operated properly with no tears or leaks? Select yes or no" sqref="C19" xr:uid="{A8060BC4-A421-4E37-A09A-AA395F706B2D}">
      <formula1>"Yes,No"</formula1>
    </dataValidation>
    <dataValidation type="list" allowBlank="1" showErrorMessage="1" prompt="Will all filter systems and mixer/truck loading control devices meet visible emissions performance standards? Select yes or no" sqref="C21" xr:uid="{AA713A17-1796-443E-8BF7-2BE868A3AA67}">
      <formula1>"Yes,No"</formula1>
    </dataValidation>
    <dataValidation type="list" allowBlank="1" showErrorMessage="1" prompt="Will cement and/or fly ash silo filter exhausts be equipped with sufficient illumination to observe visible emissions performance if the silo(s) are filled during non-daylight hours? Select yes or no" sqref="C22" xr:uid="{FE13296C-1482-4CAE-A6F6-121A7E736D5D}">
      <formula1>"Yes,No"</formula1>
    </dataValidation>
    <dataValidation type="list" allowBlank="1" showErrorMessage="1" prompt="Will conveying systems to and from the silos be totally enclosed and maintained with no tears or leaks? Select yes or no" sqref="C23" xr:uid="{4593D9B0-DC13-49D7-8102-BA95D9AF17EF}">
      <formula1>"Yes,No"</formula1>
    </dataValidation>
    <dataValidation type="list" allowBlank="1" showErrorMessage="1" prompt="During cement/fly ash storage silo(s) filling, except for connecting or disconnecting, will visible emissions exist for more than 30 seconds in any five-minute period from the conveying system? Select yes or no" sqref="C24" xr:uid="{15247E5D-C670-4A6E-BF52-7E153991AD77}">
      <formula1>"Yes,No"</formula1>
    </dataValidation>
    <dataValidation type="list" allowBlank="1" showErrorMessage="1" prompt="Will each road, parking lot, or other area at the plant site that is used by vehicles be paved with a cohesive hard surface that will be properly maintained, cleaned, and watered so as to minimize dust emissions? Select yes or no" sqref="C26" xr:uid="{0D434ACB-D426-4C24-8756-AFFD50880AF3}">
      <formula1>"Yes,No"</formula1>
    </dataValidation>
    <dataValidation type="list" allowBlank="1" showErrorMessage="1" prompt="Will all material spills be immediately cleaned up and contained or dampened so dust emissions are minimized? Select yes or no" sqref="C30" xr:uid="{4DFA413F-7770-405C-A222-E41147312D69}">
      <formula1>"Yes,No"</formula1>
    </dataValidation>
    <dataValidation operator="greaterThanOrEqual" allowBlank="1" showErrorMessage="1" prompt="What is the distance from the property line to the nearest stockpile? (feet). Enter the distance in feet" sqref="C36" xr:uid="{85FDFC0F-C2D9-4241-85C7-C69CCCE2F7A8}"/>
    <dataValidation allowBlank="1" showErrorMessage="1" prompt="This cell may be used for applicant internal comments. All comments must be deleted prior to application submittal." sqref="I17 I13" xr:uid="{00000000-0002-0000-0300-000012000000}"/>
    <dataValidation type="list" allowBlank="1" showErrorMessage="1" prompt="How will emissions from stockpiles be minimized at all times? More than one may be selected using the following rows._x000a_Select a control method:_x000a_Sprinkled with water_x000a_Dust-suppressed chemicals _x000a_Cover" sqref="C27" xr:uid="{F3E8103E-C5BF-4FA6-BFD8-722A69726AB7}">
      <formula1>"Sprinkled with water,Dust-suppressant chemicals,Cover"</formula1>
    </dataValidation>
    <dataValidation type="list" allowBlank="1" showErrorMessage="1" prompt="Select a second control method, if applicable._x000a_Sprinkled with water_x000a_Dust-suppressed chemicals _x000a_Cover" sqref="C28" xr:uid="{475E3E6B-91BA-400D-AA14-405259D98303}">
      <formula1>"Sprinkled with water,Dust-suppressant chemicals,Cover"</formula1>
    </dataValidation>
    <dataValidation allowBlank="1" showErrorMessage="1" prompt="If no or i disagree are selected, this application does not meet the requirements of the standard permit." sqref="D17" xr:uid="{8FD5C000-D97B-4E85-9E20-FD9B50F09024}"/>
  </dataValidations>
  <hyperlinks>
    <hyperlink ref="A4:C4" location="'6004Requirements'!A1" display="Air Quality Standard Permit for Concrete Batch Plants" xr:uid="{00000000-0004-0000-0300-000000000000}"/>
    <hyperlink ref="A4:D4" location="'6008Requirements'!A1" display="Air Quality Standard Permit for Concrete Batch Plants with Enhanced Controls" xr:uid="{00000000-0004-0000-0300-000001000000}"/>
    <hyperlink ref="A2" location="'6004Checklist'!A1" display="Click here to go back to the 6004 Checklist sheet." xr:uid="{8A6B4ED7-6A6F-47EB-A62F-2894CC2889BC}"/>
    <hyperlink ref="A43:E43" location="'Table20-CBP'!A1" display="Click here to go to the Table20-CBP sheet." xr:uid="{EC008A51-0979-4976-8F27-1BEDBE962402}"/>
  </hyperlinks>
  <pageMargins left="0.25" right="0.25" top="1" bottom="0.5" header="0.3" footer="0.3"/>
  <pageSetup scale="7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10" id="{00000000-000E-0000-0700-00000A000000}">
            <xm:f>'PI-1S-CBP'!$B$6= "I disagree"</xm:f>
            <x14:dxf>
              <font>
                <color theme="0" tint="-0.499984740745262"/>
              </font>
              <fill>
                <patternFill>
                  <bgColor theme="0" tint="-0.499984740745262"/>
                </patternFill>
              </fill>
            </x14:dxf>
          </x14:cfRule>
          <xm:sqref>A1:E43</xm:sqref>
        </x14:conditionalFormatting>
        <x14:conditionalFormatting xmlns:xm="http://schemas.microsoft.com/office/excel/2006/main">
          <x14:cfRule type="expression" priority="1074" id="{00000000-000E-0000-0700-000032040000}">
            <xm:f>'PI-1S-CBP'!$B$10&lt;&gt;""</xm:f>
            <x14:dxf>
              <numFmt numFmtId="166" formatCode=";;;"/>
              <fill>
                <patternFill>
                  <bgColor theme="0" tint="-0.499984740745262"/>
                </patternFill>
              </fill>
            </x14:dxf>
          </x14:cfRule>
          <xm:sqref>A9:E10 A14:E14 A18:E42 A1:E1 A2 E2 A3:E6 A7:A8 E7:E8 A11:A12 E11:E12 A13:I13 A15:A16 E15:E16 A17:I17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DCDC"/>
  </sheetPr>
  <dimension ref="A1:G27"/>
  <sheetViews>
    <sheetView showGridLines="0" zoomScaleNormal="100" workbookViewId="0">
      <selection sqref="A1:B1"/>
    </sheetView>
  </sheetViews>
  <sheetFormatPr defaultColWidth="0" defaultRowHeight="12.75" zeroHeight="1" x14ac:dyDescent="0.2"/>
  <cols>
    <col min="1" max="1" width="50.7109375" customWidth="1"/>
    <col min="2" max="2" width="54.28515625" customWidth="1"/>
    <col min="3" max="3" width="50.7109375" customWidth="1"/>
    <col min="4" max="4" width="31.5703125" hidden="1" customWidth="1"/>
    <col min="5" max="7" width="0" hidden="1" customWidth="1"/>
    <col min="8" max="16384" width="9.140625" hidden="1"/>
  </cols>
  <sheetData>
    <row r="1" spans="1:5" ht="36" customHeight="1" thickBot="1" x14ac:dyDescent="0.25">
      <c r="A1" s="693" t="s">
        <v>473</v>
      </c>
      <c r="B1" s="765"/>
      <c r="C1" s="24" t="s">
        <v>46</v>
      </c>
      <c r="D1" s="33" t="s">
        <v>207</v>
      </c>
      <c r="E1" s="32"/>
    </row>
    <row r="2" spans="1:5" ht="15" customHeight="1" thickBot="1" x14ac:dyDescent="0.25">
      <c r="A2" s="768" t="s">
        <v>474</v>
      </c>
      <c r="B2" s="769"/>
      <c r="C2" s="137"/>
      <c r="D2" s="33"/>
      <c r="E2" s="32"/>
    </row>
    <row r="3" spans="1:5" ht="75" customHeight="1" thickBot="1" x14ac:dyDescent="0.25">
      <c r="A3" s="766" t="s">
        <v>475</v>
      </c>
      <c r="B3" s="767"/>
      <c r="C3" s="25" t="s">
        <v>53</v>
      </c>
      <c r="D3" s="37"/>
    </row>
    <row r="4" spans="1:5" ht="15" customHeight="1" x14ac:dyDescent="0.2">
      <c r="A4" s="94" t="s">
        <v>476</v>
      </c>
      <c r="B4" s="242"/>
      <c r="C4" s="240"/>
      <c r="D4" s="38"/>
    </row>
    <row r="5" spans="1:5" ht="15" customHeight="1" thickBot="1" x14ac:dyDescent="0.25">
      <c r="A5" s="770"/>
      <c r="B5" s="771"/>
      <c r="C5" s="108"/>
      <c r="D5" s="38"/>
    </row>
    <row r="6" spans="1:5" ht="18" customHeight="1" x14ac:dyDescent="0.2">
      <c r="A6" s="773" t="s">
        <v>477</v>
      </c>
      <c r="B6" s="774"/>
      <c r="C6" s="108"/>
      <c r="D6" s="38"/>
      <c r="E6" s="32"/>
    </row>
    <row r="7" spans="1:5" ht="15" customHeight="1" x14ac:dyDescent="0.2">
      <c r="A7" s="275" t="s">
        <v>70</v>
      </c>
      <c r="B7" s="276" t="s">
        <v>71</v>
      </c>
      <c r="C7" s="256"/>
      <c r="D7" s="38"/>
      <c r="E7" s="32"/>
    </row>
    <row r="8" spans="1:5" ht="15" customHeight="1" x14ac:dyDescent="0.2">
      <c r="A8" s="30" t="s">
        <v>478</v>
      </c>
      <c r="B8" s="91"/>
      <c r="C8" s="256"/>
      <c r="D8" s="1"/>
    </row>
    <row r="9" spans="1:5" ht="15" customHeight="1" x14ac:dyDescent="0.2">
      <c r="A9" s="30" t="s">
        <v>479</v>
      </c>
      <c r="B9" s="91"/>
      <c r="C9" s="256"/>
      <c r="D9" s="1"/>
    </row>
    <row r="10" spans="1:5" ht="15" customHeight="1" x14ac:dyDescent="0.2">
      <c r="A10" s="30" t="s">
        <v>480</v>
      </c>
      <c r="B10" s="91"/>
      <c r="C10" s="256"/>
      <c r="D10" s="1"/>
    </row>
    <row r="11" spans="1:5" ht="15" customHeight="1" x14ac:dyDescent="0.2">
      <c r="A11" s="30" t="s">
        <v>481</v>
      </c>
      <c r="B11" s="91"/>
      <c r="C11" s="256"/>
      <c r="D11" s="1"/>
    </row>
    <row r="12" spans="1:5" ht="15" customHeight="1" thickBot="1" x14ac:dyDescent="0.25">
      <c r="A12" s="772"/>
      <c r="B12" s="745"/>
      <c r="C12" s="108"/>
      <c r="D12" s="1"/>
    </row>
    <row r="13" spans="1:5" ht="18" customHeight="1" thickBot="1" x14ac:dyDescent="0.25">
      <c r="A13" s="756" t="s">
        <v>482</v>
      </c>
      <c r="B13" s="758"/>
      <c r="C13" s="108"/>
      <c r="D13" s="1"/>
    </row>
    <row r="14" spans="1:5" ht="15.95" customHeight="1" thickBot="1" x14ac:dyDescent="0.25">
      <c r="A14" s="243" t="s">
        <v>70</v>
      </c>
      <c r="B14" s="244" t="s">
        <v>71</v>
      </c>
      <c r="C14" s="108"/>
      <c r="D14" s="1"/>
    </row>
    <row r="15" spans="1:5" ht="32.25" customHeight="1" x14ac:dyDescent="0.2">
      <c r="A15" s="218" t="s">
        <v>483</v>
      </c>
      <c r="B15" s="237"/>
      <c r="C15" s="108"/>
      <c r="D15" s="1"/>
    </row>
    <row r="16" spans="1:5" ht="30" customHeight="1" x14ac:dyDescent="0.2">
      <c r="A16" s="216" t="s">
        <v>484</v>
      </c>
      <c r="B16" s="238"/>
      <c r="C16" s="108"/>
      <c r="D16" s="1"/>
    </row>
    <row r="17" spans="1:4" ht="30" customHeight="1" x14ac:dyDescent="0.2">
      <c r="A17" s="216" t="s">
        <v>485</v>
      </c>
      <c r="B17" s="238"/>
      <c r="C17" s="108"/>
      <c r="D17" s="1"/>
    </row>
    <row r="18" spans="1:4" ht="30" customHeight="1" x14ac:dyDescent="0.2">
      <c r="A18" s="216" t="s">
        <v>486</v>
      </c>
      <c r="B18" s="238"/>
      <c r="C18" s="108"/>
      <c r="D18" s="1"/>
    </row>
    <row r="19" spans="1:4" ht="30" customHeight="1" x14ac:dyDescent="0.2">
      <c r="A19" s="216" t="s">
        <v>486</v>
      </c>
      <c r="B19" s="238"/>
      <c r="C19" s="108"/>
      <c r="D19" s="1"/>
    </row>
    <row r="20" spans="1:4" ht="30" customHeight="1" x14ac:dyDescent="0.2">
      <c r="A20" s="245" t="s">
        <v>486</v>
      </c>
      <c r="B20" s="239"/>
      <c r="C20" s="108"/>
      <c r="D20" s="1"/>
    </row>
    <row r="21" spans="1:4" ht="15" customHeight="1" thickBot="1" x14ac:dyDescent="0.25">
      <c r="A21" s="577"/>
      <c r="B21" s="752"/>
      <c r="C21" s="108"/>
      <c r="D21" s="1"/>
    </row>
    <row r="22" spans="1:4" ht="18" customHeight="1" x14ac:dyDescent="0.2">
      <c r="A22" s="712" t="s">
        <v>487</v>
      </c>
      <c r="B22" s="714"/>
      <c r="C22" s="108"/>
      <c r="D22" s="1"/>
    </row>
    <row r="23" spans="1:4" ht="15.95" customHeight="1" thickBot="1" x14ac:dyDescent="0.25">
      <c r="A23" s="102" t="s">
        <v>70</v>
      </c>
      <c r="B23" s="103" t="s">
        <v>71</v>
      </c>
      <c r="C23" s="108"/>
      <c r="D23" s="1"/>
    </row>
    <row r="24" spans="1:4" ht="27.95" customHeight="1" x14ac:dyDescent="0.2">
      <c r="A24" s="31" t="s">
        <v>488</v>
      </c>
      <c r="B24" s="282"/>
      <c r="C24" s="108"/>
      <c r="D24" s="1"/>
    </row>
    <row r="25" spans="1:4" ht="29.1" customHeight="1" x14ac:dyDescent="0.2">
      <c r="A25" s="106" t="s">
        <v>489</v>
      </c>
      <c r="B25" s="107"/>
      <c r="C25" s="241"/>
      <c r="D25" s="1" t="s">
        <v>490</v>
      </c>
    </row>
    <row r="26" spans="1:4" ht="14.25" x14ac:dyDescent="0.2">
      <c r="A26" s="764" t="s">
        <v>491</v>
      </c>
      <c r="B26" s="764"/>
      <c r="C26" s="764"/>
    </row>
    <row r="27" spans="1:4" x14ac:dyDescent="0.2"/>
  </sheetData>
  <sheetProtection algorithmName="SHA-512" hashValue="I5zQDqe9sC7Bl48MxMZkHGH3WBn5FywG7yL/+doeOnb4qUEJyeEPpvyQNsEQAMdAY5kIOxwzgBpo0+mj9trtHQ==" saltValue="8Dm1cs2rMyKVWQDR1dgy8Q==" spinCount="100000" sheet="1" objects="1" scenarios="1" formatColumns="0" formatRows="0" autoFilter="0"/>
  <mergeCells count="10">
    <mergeCell ref="A26:C26"/>
    <mergeCell ref="A1:B1"/>
    <mergeCell ref="A3:B3"/>
    <mergeCell ref="A2:B2"/>
    <mergeCell ref="A5:B5"/>
    <mergeCell ref="A12:B12"/>
    <mergeCell ref="A6:B6"/>
    <mergeCell ref="A13:B13"/>
    <mergeCell ref="A22:B22"/>
    <mergeCell ref="A21:B21"/>
  </mergeCells>
  <conditionalFormatting sqref="A25:B25">
    <cfRule type="expression" dxfId="54" priority="3">
      <formula>$B$24=1</formula>
    </cfRule>
  </conditionalFormatting>
  <dataValidations count="12">
    <dataValidation type="list" allowBlank="1" showErrorMessage="1" prompt="What type of batching will be accomplished? Options: wet (rotary mix truck), dry, or central mix." sqref="B4" xr:uid="{C8F85E89-0905-4413-B0DD-5793A8DE6D4A}">
      <formula1>"Truck Mix, Central mix, Specialty"</formula1>
    </dataValidation>
    <dataValidation type="decimal" operator="lessThanOrEqual" allowBlank="1" showErrorMessage="1" prompt="What is the maximum hours of operation per day? Enter the hours per day." sqref="B8" xr:uid="{54250C43-7EA2-45E3-B1E0-5B04A0822015}">
      <formula1>24</formula1>
    </dataValidation>
    <dataValidation type="decimal" operator="lessThanOrEqual" allowBlank="1" showErrorMessage="1" prompt="What is the maximum hours of operation per week? Enter the hours per week." sqref="B9" xr:uid="{4E0472AD-72EF-4D61-972E-7B013369245D}">
      <formula1>7</formula1>
    </dataValidation>
    <dataValidation type="decimal" operator="lessThanOrEqual" allowBlank="1" showErrorMessage="1" prompt="What is the maximum weeks of operation per year? Enter the amount of week per year." sqref="B10" xr:uid="{6FCB1344-0A56-46FD-8D88-09B458F8B9C9}">
      <formula1>52</formula1>
    </dataValidation>
    <dataValidation type="decimal" operator="lessThanOrEqual" allowBlank="1" showErrorMessage="1" prompt="What is the maximum hours of operation per year? Enter the hours per year." sqref="B11" xr:uid="{1254D014-6E7E-46E6-8F5D-16C941DE41B0}">
      <formula1>8760</formula1>
    </dataValidation>
    <dataValidation type="list" allowBlank="1" showErrorMessage="1" prompt="Will sand and aggregate be washed prior to delivery at your facility? Select Yes or No" sqref="B15" xr:uid="{22721B93-DE48-4807-BC1C-17A54217C99B}">
      <formula1>"Yes,No"</formula1>
    </dataValidation>
    <dataValidation allowBlank="1" showErrorMessage="1" prompt="What is the size of the area which will be covered be aggregate stockpiles (acres)? Enter the stockpile size in acres." sqref="B16" xr:uid="{F5C62D2F-6B9C-4A57-9348-63A48FA71E94}"/>
    <dataValidation type="list" allowBlank="1" showErrorMessage="1" prompt="Indicate where water sprays will be used, if applicable. Options: stockpiles, aggergate bin outlets, convey or transfer points, or screens." sqref="B17" xr:uid="{F0F5AF30-69E2-4AFD-9B73-1864411C0C8B}">
      <formula1>"Stockpiles,Aggregate bin outlets,Convey or transfer points,Screens"</formula1>
    </dataValidation>
    <dataValidation type="list" allowBlank="1" showErrorMessage="1" prompt="Indicate additional locations for water sprays, if applicable. Options: stockpiles, aggergate bin outlets, convey or transfer points, or screens." sqref="B18 B19 B20" xr:uid="{CFFFF6EA-1AEA-4BD5-B60B-14FCEC3178DF}">
      <formula1>"Stockpiles,Aggregate bin outlets,Convey or transfer points,Screens"</formula1>
    </dataValidation>
    <dataValidation type="list" allowBlank="1" showErrorMessage="1" prompt="How many filter systems will this plant have? Select between 1-8." sqref="B24" xr:uid="{75629887-999D-40F9-B1B6-2F6ACDEF95AF}">
      <formula1>"1,2,3,4,5,6,7,8"</formula1>
    </dataValidation>
    <dataValidation type="list" allowBlank="1" showErrorMessage="1" prompt="Will all filter systems be operated the same way? Select Yes or No." sqref="B25" xr:uid="{CA7DBE51-A0F6-421C-83C9-3D31383E68B9}">
      <formula1>"Yes,No"</formula1>
    </dataValidation>
    <dataValidation allowBlank="1" showErrorMessage="1" prompt="This cell may be used for applicant internal comments. All comments must be deleted prior to application submittal." sqref="C4:C25" xr:uid="{00000000-0002-0000-0400-000000000000}"/>
  </dataValidations>
  <hyperlinks>
    <hyperlink ref="A2" location="'6008Checklist'!A1" display="Click here to go back to the 6008Checklist sheet." xr:uid="{8C0A65CD-B757-4502-AA59-18A1EBD23DF6}"/>
    <hyperlink ref="A26:C26" location="'Table11-CBP'!A1" display="Click here to go to the Table11-CBP sheet." xr:uid="{58DB9BF7-5C02-413B-9472-B37402995B50}"/>
  </hyperlinks>
  <pageMargins left="0" right="0" top="0.81" bottom="0.76" header="0.3" footer="0.3"/>
  <pageSetup fitToHeight="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tableParts count="3">
    <tablePart r:id="rId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2" id="{A9D92EC0-9AB4-443B-BF18-B59B6AEECEDA}">
            <xm:f>COUNTIF('6004Checklist'!$A$23,"*temporary*")&gt;0</xm:f>
            <x14:dxf>
              <numFmt numFmtId="166" formatCode=";;;"/>
              <fill>
                <patternFill>
                  <bgColor theme="0" tint="-0.499984740745262"/>
                </patternFill>
              </fill>
            </x14:dxf>
          </x14:cfRule>
          <xm:sqref>A1:A3 C1:C25 A4:B4 A5:A6 A7:B11 A12:A13 A14:B20 A21:A22 A23:B25</xm:sqref>
        </x14:conditionalFormatting>
        <x14:conditionalFormatting xmlns:xm="http://schemas.microsoft.com/office/excel/2006/main">
          <x14:cfRule type="expression" priority="1" id="{00000000-000E-0000-0800-000001000000}">
            <xm:f>'PI-1S-CBP'!$B$6="I disagree"</xm:f>
            <x14:dxf>
              <font>
                <color theme="0" tint="-0.499984740745262"/>
              </font>
              <fill>
                <patternFill>
                  <bgColor theme="0" tint="-0.499984740745262"/>
                </patternFill>
              </fill>
            </x14:dxf>
          </x14:cfRule>
          <xm:sqref>A1:C1048576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DCDC"/>
  </sheetPr>
  <dimension ref="A1:I100"/>
  <sheetViews>
    <sheetView showGridLines="0" zoomScaleNormal="100" workbookViewId="0">
      <selection sqref="A1:B1"/>
    </sheetView>
  </sheetViews>
  <sheetFormatPr defaultColWidth="0" defaultRowHeight="12.75" zeroHeight="1" x14ac:dyDescent="0.2"/>
  <cols>
    <col min="1" max="1" width="50.7109375" customWidth="1"/>
    <col min="2" max="2" width="55" customWidth="1"/>
    <col min="3" max="3" width="47.7109375" customWidth="1"/>
    <col min="4" max="5" width="31.28515625" hidden="1" customWidth="1"/>
    <col min="6" max="6" width="9.140625" hidden="1" customWidth="1"/>
    <col min="7" max="9" width="0" hidden="1" customWidth="1"/>
    <col min="10" max="16384" width="6.28515625" hidden="1"/>
  </cols>
  <sheetData>
    <row r="1" spans="1:4" ht="36" customHeight="1" thickBot="1" x14ac:dyDescent="0.25">
      <c r="A1" s="693" t="s">
        <v>492</v>
      </c>
      <c r="B1" s="695"/>
      <c r="C1" s="24" t="s">
        <v>46</v>
      </c>
      <c r="D1" s="33" t="s">
        <v>207</v>
      </c>
    </row>
    <row r="2" spans="1:4" s="141" customFormat="1" ht="15" customHeight="1" thickBot="1" x14ac:dyDescent="0.25">
      <c r="A2" s="144" t="s">
        <v>493</v>
      </c>
      <c r="B2" s="260"/>
      <c r="C2" s="270"/>
      <c r="D2" s="140"/>
    </row>
    <row r="3" spans="1:4" ht="75" customHeight="1" thickBot="1" x14ac:dyDescent="0.25">
      <c r="A3" s="766" t="s">
        <v>475</v>
      </c>
      <c r="B3" s="763"/>
      <c r="C3" s="77" t="s">
        <v>53</v>
      </c>
      <c r="D3" s="37"/>
    </row>
    <row r="4" spans="1:4" ht="15" customHeight="1" x14ac:dyDescent="0.2">
      <c r="A4" s="744"/>
      <c r="B4" s="745"/>
      <c r="C4" s="267" t="s">
        <v>494</v>
      </c>
      <c r="D4" s="37"/>
    </row>
    <row r="5" spans="1:4" ht="18" customHeight="1" x14ac:dyDescent="0.2">
      <c r="A5" s="258" t="str">
        <f>IF('Table20-CBP'!B25="Yes","All Filter Systems","Filter System 1")</f>
        <v>Filter System 1</v>
      </c>
      <c r="B5" s="259"/>
      <c r="C5" s="108"/>
      <c r="D5" s="37" t="s">
        <v>495</v>
      </c>
    </row>
    <row r="6" spans="1:4" ht="15" customHeight="1" thickBot="1" x14ac:dyDescent="0.25">
      <c r="A6" s="111" t="s">
        <v>70</v>
      </c>
      <c r="B6" s="95" t="s">
        <v>71</v>
      </c>
      <c r="C6" s="108"/>
      <c r="D6" s="37"/>
    </row>
    <row r="7" spans="1:4" ht="15" customHeight="1" x14ac:dyDescent="0.2">
      <c r="A7" s="114" t="s">
        <v>496</v>
      </c>
      <c r="B7" s="271"/>
      <c r="C7" s="108"/>
      <c r="D7" s="37"/>
    </row>
    <row r="8" spans="1:4" ht="15" customHeight="1" x14ac:dyDescent="0.2">
      <c r="A8" s="51" t="s">
        <v>497</v>
      </c>
      <c r="B8" s="278"/>
      <c r="C8" s="108"/>
      <c r="D8" s="38"/>
    </row>
    <row r="9" spans="1:4" ht="15" customHeight="1" x14ac:dyDescent="0.2">
      <c r="A9" s="246" t="s">
        <v>498</v>
      </c>
      <c r="B9" s="90"/>
      <c r="C9" s="108"/>
      <c r="D9" s="1"/>
    </row>
    <row r="10" spans="1:4" ht="15" customHeight="1" x14ac:dyDescent="0.2">
      <c r="A10" s="246" t="s">
        <v>499</v>
      </c>
      <c r="B10" s="279"/>
      <c r="C10" s="108"/>
      <c r="D10" s="1"/>
    </row>
    <row r="11" spans="1:4" ht="15" customHeight="1" x14ac:dyDescent="0.2">
      <c r="A11" s="274" t="s">
        <v>500</v>
      </c>
      <c r="B11" s="273" t="s">
        <v>501</v>
      </c>
      <c r="C11" s="108"/>
      <c r="D11" s="1"/>
    </row>
    <row r="12" spans="1:4" ht="15" customHeight="1" x14ac:dyDescent="0.2">
      <c r="A12" s="104" t="s">
        <v>502</v>
      </c>
      <c r="B12" s="266"/>
      <c r="C12" s="108"/>
      <c r="D12" s="1" t="s">
        <v>503</v>
      </c>
    </row>
    <row r="13" spans="1:4" ht="15" customHeight="1" x14ac:dyDescent="0.2">
      <c r="A13" s="98" t="s">
        <v>504</v>
      </c>
      <c r="B13" s="272"/>
      <c r="C13" s="108"/>
      <c r="D13" s="1"/>
    </row>
    <row r="14" spans="1:4" ht="15" customHeight="1" x14ac:dyDescent="0.2">
      <c r="A14" s="98" t="s">
        <v>505</v>
      </c>
      <c r="B14" s="272"/>
      <c r="C14" s="108"/>
      <c r="D14" s="1"/>
    </row>
    <row r="15" spans="1:4" ht="15" customHeight="1" x14ac:dyDescent="0.2">
      <c r="A15" s="133" t="s">
        <v>506</v>
      </c>
      <c r="B15" s="266"/>
      <c r="C15" s="108"/>
      <c r="D15" s="1"/>
    </row>
    <row r="16" spans="1:4" ht="15" customHeight="1" thickBot="1" x14ac:dyDescent="0.25">
      <c r="A16" s="775"/>
      <c r="B16" s="776"/>
      <c r="C16" s="108"/>
      <c r="D16" s="1"/>
    </row>
    <row r="17" spans="1:4" ht="18" customHeight="1" thickBot="1" x14ac:dyDescent="0.25">
      <c r="A17" s="756" t="s">
        <v>507</v>
      </c>
      <c r="B17" s="758"/>
      <c r="C17" s="35"/>
      <c r="D17" s="1" t="s">
        <v>508</v>
      </c>
    </row>
    <row r="18" spans="1:4" ht="15.95" customHeight="1" thickBot="1" x14ac:dyDescent="0.25">
      <c r="A18" s="102" t="s">
        <v>70</v>
      </c>
      <c r="B18" s="103" t="s">
        <v>71</v>
      </c>
      <c r="C18" s="108"/>
      <c r="D18" s="1"/>
    </row>
    <row r="19" spans="1:4" ht="15" customHeight="1" x14ac:dyDescent="0.2">
      <c r="A19" s="31" t="s">
        <v>496</v>
      </c>
      <c r="B19" s="99"/>
      <c r="C19" s="108"/>
      <c r="D19" s="1"/>
    </row>
    <row r="20" spans="1:4" ht="15" customHeight="1" x14ac:dyDescent="0.2">
      <c r="A20" s="51" t="s">
        <v>497</v>
      </c>
      <c r="B20" s="100"/>
      <c r="C20" s="108"/>
    </row>
    <row r="21" spans="1:4" ht="15" customHeight="1" x14ac:dyDescent="0.2">
      <c r="A21" s="98" t="s">
        <v>498</v>
      </c>
      <c r="B21" s="91"/>
      <c r="C21" s="108"/>
    </row>
    <row r="22" spans="1:4" ht="15" customHeight="1" x14ac:dyDescent="0.2">
      <c r="A22" s="98" t="s">
        <v>499</v>
      </c>
      <c r="B22" s="91"/>
      <c r="C22" s="108"/>
    </row>
    <row r="23" spans="1:4" ht="15" customHeight="1" x14ac:dyDescent="0.2">
      <c r="A23" s="98" t="s">
        <v>500</v>
      </c>
      <c r="B23" s="101" t="s">
        <v>501</v>
      </c>
      <c r="C23" s="108"/>
    </row>
    <row r="24" spans="1:4" ht="15" customHeight="1" x14ac:dyDescent="0.2">
      <c r="A24" s="98" t="s">
        <v>502</v>
      </c>
      <c r="B24" s="91"/>
      <c r="C24" s="108"/>
      <c r="D24" s="1" t="s">
        <v>503</v>
      </c>
    </row>
    <row r="25" spans="1:4" ht="15" customHeight="1" x14ac:dyDescent="0.2">
      <c r="A25" s="98" t="s">
        <v>504</v>
      </c>
      <c r="B25" s="91"/>
      <c r="C25" s="108"/>
    </row>
    <row r="26" spans="1:4" ht="15" customHeight="1" x14ac:dyDescent="0.2">
      <c r="A26" s="98" t="s">
        <v>505</v>
      </c>
      <c r="B26" s="91"/>
      <c r="C26" s="108"/>
    </row>
    <row r="27" spans="1:4" ht="15" customHeight="1" x14ac:dyDescent="0.2">
      <c r="A27" s="104" t="s">
        <v>506</v>
      </c>
      <c r="B27" s="105"/>
      <c r="C27" s="108"/>
    </row>
    <row r="28" spans="1:4" ht="15" customHeight="1" thickBot="1" x14ac:dyDescent="0.25">
      <c r="A28" s="777"/>
      <c r="B28" s="778"/>
      <c r="C28" s="268"/>
    </row>
    <row r="29" spans="1:4" ht="18" customHeight="1" thickBot="1" x14ac:dyDescent="0.25">
      <c r="A29" s="756" t="s">
        <v>509</v>
      </c>
      <c r="B29" s="758"/>
      <c r="C29" s="268"/>
      <c r="D29" s="1" t="s">
        <v>510</v>
      </c>
    </row>
    <row r="30" spans="1:4" ht="15.95" customHeight="1" thickBot="1" x14ac:dyDescent="0.25">
      <c r="A30" s="102" t="s">
        <v>70</v>
      </c>
      <c r="B30" s="103" t="s">
        <v>71</v>
      </c>
      <c r="C30" s="269"/>
      <c r="D30" s="1"/>
    </row>
    <row r="31" spans="1:4" ht="15" customHeight="1" x14ac:dyDescent="0.2">
      <c r="A31" s="31" t="s">
        <v>496</v>
      </c>
      <c r="B31" s="99"/>
      <c r="C31" s="269"/>
    </row>
    <row r="32" spans="1:4" ht="15" customHeight="1" x14ac:dyDescent="0.2">
      <c r="A32" s="51" t="s">
        <v>497</v>
      </c>
      <c r="B32" s="100"/>
      <c r="C32" s="269"/>
    </row>
    <row r="33" spans="1:4" ht="15" customHeight="1" x14ac:dyDescent="0.2">
      <c r="A33" s="98" t="s">
        <v>498</v>
      </c>
      <c r="B33" s="91"/>
      <c r="C33" s="269"/>
    </row>
    <row r="34" spans="1:4" ht="15" customHeight="1" x14ac:dyDescent="0.2">
      <c r="A34" s="98" t="s">
        <v>499</v>
      </c>
      <c r="B34" s="91"/>
      <c r="C34" s="269"/>
    </row>
    <row r="35" spans="1:4" ht="15" customHeight="1" x14ac:dyDescent="0.2">
      <c r="A35" s="98" t="s">
        <v>500</v>
      </c>
      <c r="B35" s="101" t="s">
        <v>501</v>
      </c>
      <c r="C35" s="269"/>
    </row>
    <row r="36" spans="1:4" ht="15" customHeight="1" x14ac:dyDescent="0.2">
      <c r="A36" s="98" t="s">
        <v>502</v>
      </c>
      <c r="B36" s="91"/>
      <c r="C36" s="269"/>
      <c r="D36" s="1" t="s">
        <v>503</v>
      </c>
    </row>
    <row r="37" spans="1:4" ht="15" customHeight="1" x14ac:dyDescent="0.2">
      <c r="A37" s="98" t="s">
        <v>504</v>
      </c>
      <c r="B37" s="91"/>
      <c r="C37" s="269"/>
    </row>
    <row r="38" spans="1:4" ht="15" customHeight="1" x14ac:dyDescent="0.2">
      <c r="A38" s="98" t="s">
        <v>505</v>
      </c>
      <c r="B38" s="91"/>
      <c r="C38" s="269"/>
    </row>
    <row r="39" spans="1:4" ht="15" customHeight="1" x14ac:dyDescent="0.2">
      <c r="A39" s="104" t="s">
        <v>506</v>
      </c>
      <c r="B39" s="105"/>
      <c r="C39" s="269"/>
    </row>
    <row r="40" spans="1:4" ht="15" customHeight="1" thickBot="1" x14ac:dyDescent="0.25">
      <c r="A40" s="777"/>
      <c r="B40" s="778"/>
      <c r="C40" s="35"/>
    </row>
    <row r="41" spans="1:4" ht="18" customHeight="1" thickBot="1" x14ac:dyDescent="0.25">
      <c r="A41" s="756" t="s">
        <v>511</v>
      </c>
      <c r="B41" s="758"/>
      <c r="C41" s="108"/>
      <c r="D41" s="1" t="s">
        <v>512</v>
      </c>
    </row>
    <row r="42" spans="1:4" ht="15" customHeight="1" thickBot="1" x14ac:dyDescent="0.25">
      <c r="A42" s="102" t="s">
        <v>70</v>
      </c>
      <c r="B42" s="103" t="s">
        <v>71</v>
      </c>
      <c r="C42" s="108"/>
      <c r="D42" s="1"/>
    </row>
    <row r="43" spans="1:4" ht="15" customHeight="1" x14ac:dyDescent="0.2">
      <c r="A43" s="31" t="s">
        <v>496</v>
      </c>
      <c r="B43" s="99"/>
      <c r="C43" s="108"/>
    </row>
    <row r="44" spans="1:4" ht="15" customHeight="1" x14ac:dyDescent="0.2">
      <c r="A44" s="51" t="s">
        <v>497</v>
      </c>
      <c r="B44" s="100"/>
      <c r="C44" s="108"/>
    </row>
    <row r="45" spans="1:4" ht="15" customHeight="1" x14ac:dyDescent="0.2">
      <c r="A45" s="98" t="s">
        <v>498</v>
      </c>
      <c r="B45" s="91"/>
      <c r="C45" s="108"/>
    </row>
    <row r="46" spans="1:4" ht="15" customHeight="1" x14ac:dyDescent="0.2">
      <c r="A46" s="98" t="s">
        <v>499</v>
      </c>
      <c r="B46" s="91"/>
      <c r="C46" s="108"/>
    </row>
    <row r="47" spans="1:4" ht="15" customHeight="1" x14ac:dyDescent="0.2">
      <c r="A47" s="98" t="s">
        <v>500</v>
      </c>
      <c r="B47" s="101" t="s">
        <v>501</v>
      </c>
      <c r="C47" s="108"/>
    </row>
    <row r="48" spans="1:4" ht="15" customHeight="1" x14ac:dyDescent="0.2">
      <c r="A48" s="98" t="s">
        <v>502</v>
      </c>
      <c r="B48" s="91"/>
      <c r="C48" s="108"/>
      <c r="D48" s="1" t="s">
        <v>503</v>
      </c>
    </row>
    <row r="49" spans="1:4" ht="15" customHeight="1" x14ac:dyDescent="0.2">
      <c r="A49" s="98" t="s">
        <v>504</v>
      </c>
      <c r="B49" s="91"/>
      <c r="C49" s="108"/>
    </row>
    <row r="50" spans="1:4" ht="15" customHeight="1" x14ac:dyDescent="0.2">
      <c r="A50" s="98" t="s">
        <v>505</v>
      </c>
      <c r="B50" s="91"/>
      <c r="C50" s="108"/>
    </row>
    <row r="51" spans="1:4" ht="15" customHeight="1" x14ac:dyDescent="0.2">
      <c r="A51" s="104" t="s">
        <v>506</v>
      </c>
      <c r="B51" s="105"/>
      <c r="C51" s="108"/>
    </row>
    <row r="52" spans="1:4" ht="15" customHeight="1" thickBot="1" x14ac:dyDescent="0.25">
      <c r="A52" s="777"/>
      <c r="B52" s="778"/>
      <c r="C52" s="108"/>
    </row>
    <row r="53" spans="1:4" ht="18" customHeight="1" x14ac:dyDescent="0.2">
      <c r="A53" s="712" t="s">
        <v>513</v>
      </c>
      <c r="B53" s="714"/>
      <c r="C53" s="108"/>
      <c r="D53" s="1" t="s">
        <v>514</v>
      </c>
    </row>
    <row r="54" spans="1:4" ht="15" customHeight="1" x14ac:dyDescent="0.2">
      <c r="A54" s="275" t="s">
        <v>70</v>
      </c>
      <c r="B54" s="276" t="s">
        <v>71</v>
      </c>
      <c r="C54" s="108"/>
      <c r="D54" s="1"/>
    </row>
    <row r="55" spans="1:4" ht="15" customHeight="1" x14ac:dyDescent="0.2">
      <c r="A55" s="30" t="s">
        <v>496</v>
      </c>
      <c r="B55" s="277"/>
      <c r="C55" s="108"/>
    </row>
    <row r="56" spans="1:4" ht="15" customHeight="1" x14ac:dyDescent="0.2">
      <c r="A56" s="51" t="s">
        <v>497</v>
      </c>
      <c r="B56" s="100"/>
      <c r="C56" s="108"/>
    </row>
    <row r="57" spans="1:4" ht="15" customHeight="1" x14ac:dyDescent="0.2">
      <c r="A57" s="98" t="s">
        <v>498</v>
      </c>
      <c r="B57" s="91"/>
      <c r="C57" s="108"/>
    </row>
    <row r="58" spans="1:4" ht="15" customHeight="1" x14ac:dyDescent="0.2">
      <c r="A58" s="98" t="s">
        <v>499</v>
      </c>
      <c r="B58" s="91"/>
      <c r="C58" s="108"/>
    </row>
    <row r="59" spans="1:4" ht="15" customHeight="1" x14ac:dyDescent="0.2">
      <c r="A59" s="98" t="s">
        <v>500</v>
      </c>
      <c r="B59" s="101" t="s">
        <v>501</v>
      </c>
      <c r="C59" s="108"/>
    </row>
    <row r="60" spans="1:4" ht="15" customHeight="1" x14ac:dyDescent="0.2">
      <c r="A60" s="98" t="s">
        <v>502</v>
      </c>
      <c r="B60" s="91"/>
      <c r="C60" s="108"/>
      <c r="D60" s="1" t="s">
        <v>503</v>
      </c>
    </row>
    <row r="61" spans="1:4" ht="15" customHeight="1" x14ac:dyDescent="0.2">
      <c r="A61" s="98" t="s">
        <v>504</v>
      </c>
      <c r="B61" s="91"/>
      <c r="C61" s="108"/>
    </row>
    <row r="62" spans="1:4" ht="15" customHeight="1" x14ac:dyDescent="0.2">
      <c r="A62" s="98" t="s">
        <v>505</v>
      </c>
      <c r="B62" s="91"/>
      <c r="C62" s="108"/>
    </row>
    <row r="63" spans="1:4" ht="15" customHeight="1" x14ac:dyDescent="0.2">
      <c r="A63" s="104" t="s">
        <v>506</v>
      </c>
      <c r="B63" s="105"/>
      <c r="C63" s="108"/>
    </row>
    <row r="64" spans="1:4" ht="15" customHeight="1" thickBot="1" x14ac:dyDescent="0.25">
      <c r="A64" s="777"/>
      <c r="B64" s="778"/>
      <c r="C64" s="35"/>
    </row>
    <row r="65" spans="1:4" ht="18" customHeight="1" thickBot="1" x14ac:dyDescent="0.25">
      <c r="A65" s="756" t="s">
        <v>515</v>
      </c>
      <c r="B65" s="758"/>
      <c r="C65" s="35"/>
      <c r="D65" s="1" t="s">
        <v>516</v>
      </c>
    </row>
    <row r="66" spans="1:4" ht="15.95" customHeight="1" thickBot="1" x14ac:dyDescent="0.25">
      <c r="A66" s="102" t="s">
        <v>70</v>
      </c>
      <c r="B66" s="103" t="s">
        <v>71</v>
      </c>
      <c r="C66" s="108"/>
      <c r="D66" s="1"/>
    </row>
    <row r="67" spans="1:4" ht="15" customHeight="1" x14ac:dyDescent="0.2">
      <c r="A67" s="28" t="s">
        <v>496</v>
      </c>
      <c r="B67" s="280"/>
      <c r="C67" s="108"/>
    </row>
    <row r="68" spans="1:4" ht="14.1" customHeight="1" x14ac:dyDescent="0.2">
      <c r="A68" s="50" t="s">
        <v>497</v>
      </c>
      <c r="B68" s="357"/>
      <c r="C68" s="108"/>
    </row>
    <row r="69" spans="1:4" ht="14.1" customHeight="1" x14ac:dyDescent="0.2">
      <c r="A69" s="49" t="s">
        <v>498</v>
      </c>
      <c r="B69" s="272"/>
      <c r="C69" s="108"/>
    </row>
    <row r="70" spans="1:4" ht="14.1" customHeight="1" x14ac:dyDescent="0.2">
      <c r="A70" s="49" t="s">
        <v>499</v>
      </c>
      <c r="B70" s="272"/>
      <c r="C70" s="108"/>
    </row>
    <row r="71" spans="1:4" ht="14.1" customHeight="1" x14ac:dyDescent="0.2">
      <c r="A71" s="246" t="s">
        <v>500</v>
      </c>
      <c r="B71" s="281" t="s">
        <v>501</v>
      </c>
      <c r="C71" s="108"/>
    </row>
    <row r="72" spans="1:4" ht="14.1" customHeight="1" x14ac:dyDescent="0.2">
      <c r="A72" s="246" t="s">
        <v>502</v>
      </c>
      <c r="B72" s="279"/>
      <c r="C72" s="108"/>
      <c r="D72" s="1" t="s">
        <v>503</v>
      </c>
    </row>
    <row r="73" spans="1:4" ht="14.1" customHeight="1" x14ac:dyDescent="0.2">
      <c r="A73" s="98" t="s">
        <v>504</v>
      </c>
      <c r="B73" s="91"/>
      <c r="C73" s="108"/>
    </row>
    <row r="74" spans="1:4" ht="14.1" customHeight="1" x14ac:dyDescent="0.2">
      <c r="A74" s="98" t="s">
        <v>505</v>
      </c>
      <c r="B74" s="91"/>
      <c r="C74" s="108"/>
    </row>
    <row r="75" spans="1:4" ht="15" customHeight="1" x14ac:dyDescent="0.2">
      <c r="A75" s="104" t="s">
        <v>506</v>
      </c>
      <c r="B75" s="105"/>
      <c r="C75" s="108"/>
    </row>
    <row r="76" spans="1:4" ht="15" customHeight="1" thickBot="1" x14ac:dyDescent="0.25">
      <c r="A76" s="777"/>
      <c r="B76" s="778"/>
      <c r="C76" s="35"/>
    </row>
    <row r="77" spans="1:4" ht="18" customHeight="1" thickBot="1" x14ac:dyDescent="0.25">
      <c r="A77" s="756" t="s">
        <v>517</v>
      </c>
      <c r="B77" s="758"/>
      <c r="C77" s="108"/>
      <c r="D77" s="1" t="s">
        <v>518</v>
      </c>
    </row>
    <row r="78" spans="1:4" ht="15.95" customHeight="1" thickBot="1" x14ac:dyDescent="0.25">
      <c r="A78" s="265" t="s">
        <v>70</v>
      </c>
      <c r="B78" s="103" t="s">
        <v>71</v>
      </c>
      <c r="C78" s="108"/>
      <c r="D78" s="1"/>
    </row>
    <row r="79" spans="1:4" ht="15" customHeight="1" x14ac:dyDescent="0.2">
      <c r="A79" s="261" t="s">
        <v>496</v>
      </c>
      <c r="B79" s="345"/>
      <c r="C79" s="108"/>
    </row>
    <row r="80" spans="1:4" ht="14.1" customHeight="1" x14ac:dyDescent="0.2">
      <c r="A80" s="262" t="s">
        <v>497</v>
      </c>
      <c r="B80" s="346"/>
      <c r="C80" s="108"/>
    </row>
    <row r="81" spans="1:4" ht="14.1" customHeight="1" x14ac:dyDescent="0.2">
      <c r="A81" s="263" t="s">
        <v>498</v>
      </c>
      <c r="B81" s="105"/>
      <c r="C81" s="108"/>
    </row>
    <row r="82" spans="1:4" ht="14.1" customHeight="1" x14ac:dyDescent="0.2">
      <c r="A82" s="263" t="s">
        <v>499</v>
      </c>
      <c r="B82" s="105"/>
      <c r="C82" s="108"/>
    </row>
    <row r="83" spans="1:4" ht="14.1" customHeight="1" x14ac:dyDescent="0.2">
      <c r="A83" s="263" t="s">
        <v>500</v>
      </c>
      <c r="B83" s="264" t="s">
        <v>501</v>
      </c>
      <c r="C83" s="108"/>
    </row>
    <row r="84" spans="1:4" ht="14.1" customHeight="1" x14ac:dyDescent="0.2">
      <c r="A84" s="263" t="s">
        <v>502</v>
      </c>
      <c r="B84" s="105"/>
      <c r="C84" s="108"/>
      <c r="D84" s="1" t="s">
        <v>503</v>
      </c>
    </row>
    <row r="85" spans="1:4" ht="14.1" customHeight="1" x14ac:dyDescent="0.2">
      <c r="A85" s="263" t="s">
        <v>504</v>
      </c>
      <c r="B85" s="105"/>
      <c r="C85" s="108"/>
    </row>
    <row r="86" spans="1:4" ht="14.1" customHeight="1" x14ac:dyDescent="0.2">
      <c r="A86" s="263" t="s">
        <v>505</v>
      </c>
      <c r="B86" s="105"/>
      <c r="C86" s="108"/>
    </row>
    <row r="87" spans="1:4" ht="15" customHeight="1" x14ac:dyDescent="0.2">
      <c r="A87" s="263" t="s">
        <v>506</v>
      </c>
      <c r="B87" s="105"/>
      <c r="C87" s="108"/>
    </row>
    <row r="88" spans="1:4" ht="15" customHeight="1" thickBot="1" x14ac:dyDescent="0.25">
      <c r="A88" s="777"/>
      <c r="B88" s="778"/>
      <c r="C88" s="35"/>
    </row>
    <row r="89" spans="1:4" ht="18" customHeight="1" thickBot="1" x14ac:dyDescent="0.25">
      <c r="A89" s="756" t="s">
        <v>519</v>
      </c>
      <c r="B89" s="758"/>
      <c r="C89" s="108"/>
      <c r="D89" s="1" t="s">
        <v>520</v>
      </c>
    </row>
    <row r="90" spans="1:4" ht="15.95" customHeight="1" thickBot="1" x14ac:dyDescent="0.25">
      <c r="A90" s="102" t="s">
        <v>70</v>
      </c>
      <c r="B90" s="103" t="s">
        <v>71</v>
      </c>
      <c r="C90" s="108"/>
      <c r="D90" s="1"/>
    </row>
    <row r="91" spans="1:4" ht="15" customHeight="1" x14ac:dyDescent="0.2">
      <c r="A91" s="31" t="s">
        <v>496</v>
      </c>
      <c r="B91" s="99"/>
      <c r="C91" s="108"/>
    </row>
    <row r="92" spans="1:4" ht="14.1" customHeight="1" x14ac:dyDescent="0.2">
      <c r="A92" s="51" t="s">
        <v>497</v>
      </c>
      <c r="B92" s="29"/>
      <c r="C92" s="108"/>
    </row>
    <row r="93" spans="1:4" ht="14.1" customHeight="1" x14ac:dyDescent="0.2">
      <c r="A93" s="98" t="s">
        <v>521</v>
      </c>
      <c r="B93" s="91"/>
      <c r="C93" s="108"/>
    </row>
    <row r="94" spans="1:4" ht="14.1" customHeight="1" x14ac:dyDescent="0.2">
      <c r="A94" s="98" t="s">
        <v>499</v>
      </c>
      <c r="B94" s="91"/>
      <c r="C94" s="108"/>
    </row>
    <row r="95" spans="1:4" ht="14.1" customHeight="1" x14ac:dyDescent="0.2">
      <c r="A95" s="98" t="s">
        <v>500</v>
      </c>
      <c r="B95" s="101" t="s">
        <v>501</v>
      </c>
      <c r="C95" s="108"/>
    </row>
    <row r="96" spans="1:4" ht="14.1" customHeight="1" x14ac:dyDescent="0.2">
      <c r="A96" s="98" t="s">
        <v>502</v>
      </c>
      <c r="B96" s="91"/>
      <c r="C96" s="108"/>
      <c r="D96" s="1" t="s">
        <v>503</v>
      </c>
    </row>
    <row r="97" spans="1:3" ht="14.1" customHeight="1" x14ac:dyDescent="0.2">
      <c r="A97" s="98" t="s">
        <v>504</v>
      </c>
      <c r="B97" s="91"/>
      <c r="C97" s="108"/>
    </row>
    <row r="98" spans="1:3" ht="14.1" customHeight="1" x14ac:dyDescent="0.2">
      <c r="A98" s="98" t="s">
        <v>505</v>
      </c>
      <c r="B98" s="91"/>
      <c r="C98" s="108"/>
    </row>
    <row r="99" spans="1:3" ht="15" customHeight="1" thickBot="1" x14ac:dyDescent="0.25">
      <c r="A99" s="104" t="s">
        <v>506</v>
      </c>
      <c r="B99" s="105"/>
      <c r="C99" s="241"/>
    </row>
    <row r="100" spans="1:3" ht="14.25" x14ac:dyDescent="0.2">
      <c r="A100" s="141" t="s">
        <v>522</v>
      </c>
      <c r="B100" s="93"/>
      <c r="C100" s="93"/>
    </row>
  </sheetData>
  <sheetProtection algorithmName="SHA-512" hashValue="Ac1I4YUOTEoGJ4A5X/nNR3/xe0yZ0/KcITAeR9QKGzBC5w+y9hn+IBTMXVPdhkUjAk3HWiHLMwsc2BkBASM7sA==" saltValue="g6ajoYKHUDy6YBTUZaBimQ==" spinCount="100000" sheet="1" objects="1" scenarios="1" formatColumns="0" formatRows="0" autoFilter="0"/>
  <mergeCells count="17">
    <mergeCell ref="A89:B89"/>
    <mergeCell ref="A88:B88"/>
    <mergeCell ref="A28:B28"/>
    <mergeCell ref="A40:B40"/>
    <mergeCell ref="A52:B52"/>
    <mergeCell ref="A64:B64"/>
    <mergeCell ref="A76:B76"/>
    <mergeCell ref="A65:B65"/>
    <mergeCell ref="A53:B53"/>
    <mergeCell ref="A41:B41"/>
    <mergeCell ref="A29:B29"/>
    <mergeCell ref="A77:B77"/>
    <mergeCell ref="A1:B1"/>
    <mergeCell ref="A3:B3"/>
    <mergeCell ref="A4:B4"/>
    <mergeCell ref="A16:B16"/>
    <mergeCell ref="A17:B17"/>
  </mergeCells>
  <conditionalFormatting sqref="B12">
    <cfRule type="expression" dxfId="42" priority="18">
      <formula>$B$13&gt;$B$12</formula>
    </cfRule>
  </conditionalFormatting>
  <conditionalFormatting sqref="B24">
    <cfRule type="expression" dxfId="41" priority="17">
      <formula>$B$25&gt;$B$24</formula>
    </cfRule>
  </conditionalFormatting>
  <conditionalFormatting sqref="B25 B37 B49 B61 B73 B85 B97 B13">
    <cfRule type="expression" dxfId="40" priority="19">
      <formula>AND($B$13&lt;&gt;"",$B$13&lt;5000,$B$25&lt;5000,$B$37&lt;5000,$B$49&lt;5000,$B$61&lt;5000,$B$73&lt;5000,$B$85&lt;5000,$B$97&lt;5000)</formula>
    </cfRule>
  </conditionalFormatting>
  <conditionalFormatting sqref="B36">
    <cfRule type="expression" dxfId="39" priority="16">
      <formula>$B$37&gt;$B$36</formula>
    </cfRule>
  </conditionalFormatting>
  <conditionalFormatting sqref="B48">
    <cfRule type="expression" dxfId="38" priority="15">
      <formula>$B$49&gt;$B$48</formula>
    </cfRule>
  </conditionalFormatting>
  <conditionalFormatting sqref="B60">
    <cfRule type="expression" dxfId="37" priority="14">
      <formula>$B$61&gt;$B$60</formula>
    </cfRule>
  </conditionalFormatting>
  <conditionalFormatting sqref="B72">
    <cfRule type="expression" dxfId="36" priority="13">
      <formula>$B$73&gt;$B$72</formula>
    </cfRule>
  </conditionalFormatting>
  <conditionalFormatting sqref="B84">
    <cfRule type="expression" dxfId="35" priority="12">
      <formula>$B$73&gt;$B$72</formula>
    </cfRule>
  </conditionalFormatting>
  <conditionalFormatting sqref="B96">
    <cfRule type="expression" dxfId="34" priority="11">
      <formula>$B$97&gt;$B$96</formula>
    </cfRule>
  </conditionalFormatting>
  <dataValidations count="9">
    <dataValidation allowBlank="1" showErrorMessage="1" prompt="enter the EPN" sqref="B91 B79 B7 B31 B43 B55 B67 B19" xr:uid="{00000000-0002-0000-0500-000000000000}"/>
    <dataValidation allowBlank="1" showErrorMessage="1" prompt="enter the manufacturer" sqref="B92 B80 B8 B32 B44 B20 B68 B56" xr:uid="{00000000-0002-0000-0500-000001000000}"/>
    <dataValidation allowBlank="1" showErrorMessage="1" prompt="list the sources being controlled" sqref="B10 B21:B22 B33:B34 B45:B46 B57:B58 B69:B70 B81:B82 B9 B94 B93" xr:uid="{00000000-0002-0000-0500-000002000000}"/>
    <dataValidation allowBlank="1" showErrorMessage="1" prompt="enter the design maximum" sqref="B96 B84 B24 B36 B48 B60 B72" xr:uid="{00000000-0002-0000-0500-000003000000}"/>
    <dataValidation allowBlank="1" showErrorMessage="1" prompt="Particulate grain loading (grain/scf) - inlet" sqref="B98 B86 B26 B38 B50 B62 B74 B14" xr:uid="{00000000-0002-0000-0500-000005000000}"/>
    <dataValidation allowBlank="1" showErrorMessage="1" prompt="Particulate grain loading (grain/scf) - outlet" sqref="B99 B75 B15 B27 B39 B51 B63 B87" xr:uid="{00000000-0002-0000-0500-000006000000}"/>
    <dataValidation allowBlank="1" showErrorMessage="1" prompt="This cell may be used for applicant internal comments. All comments must be deleted prior to application submittal." sqref="C5:C99" xr:uid="{00000000-0002-0000-0500-000007000000}"/>
    <dataValidation operator="greaterThanOrEqual" allowBlank="1" showErrorMessage="1" error="Must be at least 5000 acfm" prompt="enter the average expected flow rate (acfm)" sqref="B97 B25 B37 B49 B61 B73 B85 B13" xr:uid="{12C4163B-1858-4A7A-9078-2A2E74004336}"/>
    <dataValidation allowBlank="1" showErrorMessage="1" prompt="Enter the design maximum flow rate (acfm)" sqref="B12" xr:uid="{614FE57D-4FB8-4162-BB14-B560AEB7F4E9}"/>
  </dataValidations>
  <hyperlinks>
    <hyperlink ref="A100" location="'Table29-CBP'!A1" display="Click here to go to the Table29-CBP sheet." xr:uid="{EEF531E5-BEAE-4D8C-8699-DA8281D3FD13}"/>
    <hyperlink ref="A2:XFD2" location="'Table20-CBP'!A1" display="Click here to go back to the Table20-CBP sheet." xr:uid="{81E557CC-983C-46CD-9390-03D4988523A8}"/>
  </hyperlinks>
  <pageMargins left="0.25" right="0.25" top="1" bottom="0.5" header="0.3" footer="0.3"/>
  <pageSetup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tableParts count="8">
    <tablePart r:id="rId2"/>
    <tablePart r:id="rId3"/>
    <tablePart r:id="rId4"/>
    <tablePart r:id="rId5"/>
    <tablePart r:id="rId6"/>
    <tablePart r:id="rId7"/>
    <tablePart r:id="rId8"/>
    <tablePart r:id="rId9"/>
  </tableParts>
  <extLst>
    <ext xmlns:x14="http://schemas.microsoft.com/office/spreadsheetml/2009/9/main" uri="{78C0D931-6437-407d-A8EE-F0AAD7539E65}">
      <x14:conditionalFormattings>
        <x14:conditionalFormatting xmlns:xm="http://schemas.microsoft.com/office/excel/2006/main">
          <x14:cfRule type="expression" priority="2" id="{4218E8B1-700F-45E7-9556-876BB6D137B9}">
            <xm:f>COUNTIF('6004Checklist'!$A$23,"*temporary*")&gt;0</xm:f>
            <x14:dxf>
              <numFmt numFmtId="166" formatCode=";;;"/>
              <fill>
                <patternFill>
                  <bgColor theme="0" tint="-0.499984740745262"/>
                </patternFill>
              </fill>
            </x14:dxf>
          </x14:cfRule>
          <xm:sqref>A1:A4 C1:C99 A5:B5 A7:B15 A16:A17 A18:B27 A28:A29 A30:B39 A40:A41 A42:B51 A52:A53 A54:B63 A64:A65 A66:B75 A76:A77 A78:B87 A88:A89 A90:B99</xm:sqref>
        </x14:conditionalFormatting>
        <x14:conditionalFormatting xmlns:xm="http://schemas.microsoft.com/office/excel/2006/main">
          <x14:cfRule type="expression" priority="9" id="{87E64C2B-EE9E-481E-9EF9-0DD2BBC55991}">
            <xm:f>'Table20-CBP'!$B$24=1</xm:f>
            <x14:dxf>
              <numFmt numFmtId="166" formatCode=";;;"/>
              <fill>
                <patternFill>
                  <bgColor theme="0" tint="-0.499984740745262"/>
                </patternFill>
              </fill>
            </x14:dxf>
          </x14:cfRule>
          <x14:cfRule type="expression" priority="10" id="{D3DF1589-57AB-4A7B-B626-9E4F8277095B}">
            <xm:f>'Table20-CBP'!$B$25="yes"</xm:f>
            <x14:dxf>
              <numFmt numFmtId="166" formatCode=";;;"/>
              <fill>
                <patternFill>
                  <bgColor theme="0" tint="-0.499984740745262"/>
                </patternFill>
              </fill>
            </x14:dxf>
          </x14:cfRule>
          <xm:sqref>A17 A18:B27 A28:A29 A30:B39 A40:A41 A42:B51 A52:A53 A54:B63 A64:A65 A66:B75 A76:A77 A78:B87 A88:A89 A90:B99</xm:sqref>
        </x14:conditionalFormatting>
        <x14:conditionalFormatting xmlns:xm="http://schemas.microsoft.com/office/excel/2006/main">
          <x14:cfRule type="expression" priority="8" id="{F47888D9-6113-4C20-8E36-96CB143E4CEF}">
            <xm:f>'Table20-CBP'!$B$24=2</xm:f>
            <x14:dxf>
              <numFmt numFmtId="166" formatCode=";;;"/>
              <fill>
                <patternFill>
                  <bgColor theme="0" tint="-0.499984740745262"/>
                </patternFill>
              </fill>
            </x14:dxf>
          </x14:cfRule>
          <xm:sqref>A29 A30:B39 A40:A41 A42:B51 A52:A53 A54:B63 A64:A65 A66:B75 A76:A77 A78:B87 A88:A89 A90:B99</xm:sqref>
        </x14:conditionalFormatting>
        <x14:conditionalFormatting xmlns:xm="http://schemas.microsoft.com/office/excel/2006/main">
          <x14:cfRule type="expression" priority="7" id="{05955571-AA76-4CE6-8BF9-3619BF6CA775}">
            <xm:f>'Table20-CBP'!$B$24=3</xm:f>
            <x14:dxf>
              <numFmt numFmtId="166" formatCode=";;;"/>
              <fill>
                <patternFill>
                  <bgColor theme="0" tint="-0.499984740745262"/>
                </patternFill>
              </fill>
            </x14:dxf>
          </x14:cfRule>
          <xm:sqref>A41 A42:B51 A52:A53 A54:B63 A64:A65 A66:B75 A76:A77 A78:B87 A88:A89 A90:B99</xm:sqref>
        </x14:conditionalFormatting>
        <x14:conditionalFormatting xmlns:xm="http://schemas.microsoft.com/office/excel/2006/main">
          <x14:cfRule type="expression" priority="6" id="{9A143484-14EC-4976-8338-48C6756F03CE}">
            <xm:f>'Table20-CBP'!$B$24=4</xm:f>
            <x14:dxf>
              <numFmt numFmtId="166" formatCode=";;;"/>
              <fill>
                <patternFill>
                  <bgColor theme="0" tint="-0.499984740745262"/>
                </patternFill>
              </fill>
            </x14:dxf>
          </x14:cfRule>
          <xm:sqref>A53 A54:B63 A64:A65 A66:B75 A76:A77 A78:B87 A88:A89 A90:B99</xm:sqref>
        </x14:conditionalFormatting>
        <x14:conditionalFormatting xmlns:xm="http://schemas.microsoft.com/office/excel/2006/main">
          <x14:cfRule type="expression" priority="5" id="{EB7D19D6-B1D4-460A-9BFC-B6827822FA3C}">
            <xm:f>'Table20-CBP'!$B$24=5</xm:f>
            <x14:dxf>
              <numFmt numFmtId="166" formatCode=";;;"/>
              <fill>
                <patternFill>
                  <bgColor theme="0" tint="-0.499984740745262"/>
                </patternFill>
              </fill>
            </x14:dxf>
          </x14:cfRule>
          <xm:sqref>A65 A66:B75 A76:A77 A78:B87 A88:A89 A90:B99</xm:sqref>
        </x14:conditionalFormatting>
        <x14:conditionalFormatting xmlns:xm="http://schemas.microsoft.com/office/excel/2006/main">
          <x14:cfRule type="expression" priority="4" id="{29A0068A-2E2C-464E-A0E4-E5B804129737}">
            <xm:f>'Table20-CBP'!$B$24=6</xm:f>
            <x14:dxf>
              <numFmt numFmtId="166" formatCode=";;;"/>
              <fill>
                <patternFill>
                  <bgColor theme="0" tint="-0.499984740745262"/>
                </patternFill>
              </fill>
            </x14:dxf>
          </x14:cfRule>
          <xm:sqref>A77 A78:B87 A88:A89 A90:B99</xm:sqref>
        </x14:conditionalFormatting>
        <x14:conditionalFormatting xmlns:xm="http://schemas.microsoft.com/office/excel/2006/main">
          <x14:cfRule type="expression" priority="3" id="{E2B2AFF7-AFE4-48A7-A021-8B77156FA6FF}">
            <xm:f>'Table20-CBP'!$B$24=7</xm:f>
            <x14:dxf>
              <numFmt numFmtId="166" formatCode=";;;"/>
              <fill>
                <patternFill>
                  <bgColor theme="0" tint="-0.499984740745262"/>
                </patternFill>
              </fill>
            </x14:dxf>
          </x14:cfRule>
          <xm:sqref>A89 A90:B99</xm:sqref>
        </x14:conditionalFormatting>
        <x14:conditionalFormatting xmlns:xm="http://schemas.microsoft.com/office/excel/2006/main">
          <x14:cfRule type="expression" priority="1" id="{00000000-000E-0000-0900-000001000000}">
            <xm:f>'PI-1S-CBP'!$B$6= "I disagree"</xm:f>
            <x14:dxf>
              <font>
                <color theme="0" tint="-0.499984740745262"/>
              </font>
              <fill>
                <patternFill>
                  <bgColor theme="0" tint="-0.499984740745262"/>
                </patternFill>
              </fill>
            </x14:dxf>
          </x14:cfRule>
          <xm:sqref>A1:C1048576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DCDC"/>
  </sheetPr>
  <dimension ref="A1:E47"/>
  <sheetViews>
    <sheetView showGridLines="0" zoomScaleNormal="100" workbookViewId="0">
      <selection sqref="A1:B1"/>
    </sheetView>
  </sheetViews>
  <sheetFormatPr defaultColWidth="0" defaultRowHeight="12.75" zeroHeight="1" x14ac:dyDescent="0.2"/>
  <cols>
    <col min="1" max="3" width="50.7109375" customWidth="1"/>
    <col min="4" max="5" width="41.28515625" hidden="1" customWidth="1"/>
    <col min="6" max="16384" width="9.140625" hidden="1"/>
  </cols>
  <sheetData>
    <row r="1" spans="1:4" ht="36" customHeight="1" thickBot="1" x14ac:dyDescent="0.25">
      <c r="A1" s="693" t="s">
        <v>523</v>
      </c>
      <c r="B1" s="694"/>
      <c r="C1" s="36" t="s">
        <v>46</v>
      </c>
      <c r="D1" s="32" t="s">
        <v>207</v>
      </c>
    </row>
    <row r="2" spans="1:4" ht="15" customHeight="1" thickBot="1" x14ac:dyDescent="0.25">
      <c r="A2" s="144" t="s">
        <v>524</v>
      </c>
      <c r="B2" s="139"/>
      <c r="C2" s="142"/>
      <c r="D2" s="32"/>
    </row>
    <row r="3" spans="1:4" ht="75" customHeight="1" thickBot="1" x14ac:dyDescent="0.25">
      <c r="A3" s="766" t="s">
        <v>525</v>
      </c>
      <c r="B3" s="779"/>
      <c r="C3" s="76" t="s">
        <v>53</v>
      </c>
      <c r="D3" s="38"/>
    </row>
    <row r="4" spans="1:4" ht="15" customHeight="1" thickBot="1" x14ac:dyDescent="0.25">
      <c r="A4" s="766"/>
      <c r="B4" s="763"/>
      <c r="C4" s="225"/>
      <c r="D4" s="38"/>
    </row>
    <row r="5" spans="1:4" ht="18" customHeight="1" x14ac:dyDescent="0.2">
      <c r="A5" s="780" t="str">
        <f>IF('6004Checklist'!C75="Yes","All Engines In This Registration","Engine 1")</f>
        <v>Engine 1</v>
      </c>
      <c r="B5" s="781"/>
      <c r="C5" s="34"/>
      <c r="D5" s="38"/>
    </row>
    <row r="6" spans="1:4" ht="15.95" customHeight="1" thickBot="1" x14ac:dyDescent="0.25">
      <c r="A6" s="134" t="s">
        <v>70</v>
      </c>
      <c r="B6" s="135" t="s">
        <v>71</v>
      </c>
      <c r="C6" s="108"/>
      <c r="D6" s="38"/>
    </row>
    <row r="7" spans="1:4" ht="15" customHeight="1" x14ac:dyDescent="0.2">
      <c r="A7" s="132" t="s">
        <v>497</v>
      </c>
      <c r="B7" s="92"/>
      <c r="C7" s="108"/>
      <c r="D7" s="38"/>
    </row>
    <row r="8" spans="1:4" ht="15" customHeight="1" x14ac:dyDescent="0.2">
      <c r="A8" s="98" t="s">
        <v>521</v>
      </c>
      <c r="B8" s="90"/>
      <c r="C8" s="108"/>
      <c r="D8" s="1"/>
    </row>
    <row r="9" spans="1:4" ht="15" customHeight="1" x14ac:dyDescent="0.2">
      <c r="A9" s="98" t="s">
        <v>526</v>
      </c>
      <c r="B9" s="90"/>
      <c r="C9" s="108"/>
      <c r="D9" s="1"/>
    </row>
    <row r="10" spans="1:4" ht="15" customHeight="1" x14ac:dyDescent="0.2">
      <c r="A10" s="30" t="s">
        <v>527</v>
      </c>
      <c r="B10" s="91"/>
      <c r="C10" s="108"/>
      <c r="D10" s="1"/>
    </row>
    <row r="11" spans="1:4" ht="15" customHeight="1" x14ac:dyDescent="0.2">
      <c r="A11" s="98" t="s">
        <v>528</v>
      </c>
      <c r="B11" s="90"/>
      <c r="C11" s="108"/>
      <c r="D11" s="1"/>
    </row>
    <row r="12" spans="1:4" ht="15" customHeight="1" x14ac:dyDescent="0.2">
      <c r="A12" s="98" t="s">
        <v>529</v>
      </c>
      <c r="B12" s="90"/>
      <c r="C12" s="108"/>
      <c r="D12" s="1"/>
    </row>
    <row r="13" spans="1:4" ht="15" customHeight="1" x14ac:dyDescent="0.2">
      <c r="A13" s="98" t="s">
        <v>530</v>
      </c>
      <c r="B13" s="90"/>
      <c r="C13" s="108"/>
      <c r="D13" s="1"/>
    </row>
    <row r="14" spans="1:4" ht="15" customHeight="1" x14ac:dyDescent="0.2">
      <c r="A14" s="98" t="s">
        <v>531</v>
      </c>
      <c r="B14" s="90"/>
      <c r="C14" s="108"/>
      <c r="D14" s="1"/>
    </row>
    <row r="15" spans="1:4" ht="15" customHeight="1" x14ac:dyDescent="0.2">
      <c r="A15" s="98" t="s">
        <v>532</v>
      </c>
      <c r="B15" s="90"/>
      <c r="C15" s="108"/>
      <c r="D15" s="1"/>
    </row>
    <row r="16" spans="1:4" ht="15" customHeight="1" thickBot="1" x14ac:dyDescent="0.25">
      <c r="A16" s="133" t="s">
        <v>533</v>
      </c>
      <c r="B16" s="105"/>
      <c r="C16" s="108"/>
      <c r="D16" s="1"/>
    </row>
    <row r="17" spans="1:4" ht="15" customHeight="1" thickBot="1" x14ac:dyDescent="0.25">
      <c r="A17" s="784"/>
      <c r="B17" s="785"/>
      <c r="C17" s="108"/>
      <c r="D17" s="1"/>
    </row>
    <row r="18" spans="1:4" ht="18" customHeight="1" x14ac:dyDescent="0.2">
      <c r="A18" s="782" t="s">
        <v>534</v>
      </c>
      <c r="B18" s="783"/>
      <c r="C18" s="35"/>
      <c r="D18" s="38" t="s">
        <v>535</v>
      </c>
    </row>
    <row r="19" spans="1:4" ht="15.95" customHeight="1" thickBot="1" x14ac:dyDescent="0.25">
      <c r="A19" s="134" t="s">
        <v>70</v>
      </c>
      <c r="B19" s="135" t="s">
        <v>71</v>
      </c>
      <c r="C19" s="108"/>
      <c r="D19" s="38"/>
    </row>
    <row r="20" spans="1:4" ht="14.1" customHeight="1" x14ac:dyDescent="0.2">
      <c r="A20" s="132" t="s">
        <v>497</v>
      </c>
      <c r="B20" s="92"/>
      <c r="C20" s="108"/>
      <c r="D20" s="38"/>
    </row>
    <row r="21" spans="1:4" ht="14.1" customHeight="1" x14ac:dyDescent="0.2">
      <c r="A21" s="98" t="s">
        <v>521</v>
      </c>
      <c r="B21" s="90"/>
      <c r="C21" s="108"/>
      <c r="D21" s="1"/>
    </row>
    <row r="22" spans="1:4" ht="14.1" customHeight="1" x14ac:dyDescent="0.2">
      <c r="A22" s="98" t="s">
        <v>526</v>
      </c>
      <c r="B22" s="90"/>
      <c r="C22" s="108"/>
      <c r="D22" s="1"/>
    </row>
    <row r="23" spans="1:4" ht="12.95" customHeight="1" x14ac:dyDescent="0.2">
      <c r="A23" s="30" t="s">
        <v>527</v>
      </c>
      <c r="B23" s="91"/>
      <c r="C23" s="108"/>
      <c r="D23" s="1"/>
    </row>
    <row r="24" spans="1:4" ht="14.1" customHeight="1" x14ac:dyDescent="0.2">
      <c r="A24" s="98" t="s">
        <v>528</v>
      </c>
      <c r="B24" s="90"/>
      <c r="C24" s="108"/>
      <c r="D24" s="1"/>
    </row>
    <row r="25" spans="1:4" ht="14.1" customHeight="1" x14ac:dyDescent="0.2">
      <c r="A25" s="98" t="s">
        <v>529</v>
      </c>
      <c r="B25" s="90"/>
      <c r="C25" s="108"/>
      <c r="D25" s="1"/>
    </row>
    <row r="26" spans="1:4" ht="14.1" customHeight="1" x14ac:dyDescent="0.2">
      <c r="A26" s="98" t="s">
        <v>530</v>
      </c>
      <c r="B26" s="90"/>
      <c r="C26" s="108"/>
      <c r="D26" s="1"/>
    </row>
    <row r="27" spans="1:4" ht="14.1" customHeight="1" x14ac:dyDescent="0.2">
      <c r="A27" s="98" t="s">
        <v>531</v>
      </c>
      <c r="B27" s="90"/>
      <c r="C27" s="108"/>
      <c r="D27" s="1"/>
    </row>
    <row r="28" spans="1:4" ht="14.1" customHeight="1" x14ac:dyDescent="0.2">
      <c r="A28" s="98" t="s">
        <v>532</v>
      </c>
      <c r="B28" s="90"/>
      <c r="C28" s="108"/>
      <c r="D28" s="1"/>
    </row>
    <row r="29" spans="1:4" ht="15" customHeight="1" x14ac:dyDescent="0.2">
      <c r="A29" s="104" t="s">
        <v>533</v>
      </c>
      <c r="B29" s="136"/>
      <c r="C29" s="108"/>
      <c r="D29" s="1"/>
    </row>
    <row r="30" spans="1:4" ht="15" customHeight="1" thickBot="1" x14ac:dyDescent="0.25">
      <c r="A30" s="777"/>
      <c r="B30" s="778"/>
      <c r="C30" s="108"/>
      <c r="D30" s="1"/>
    </row>
    <row r="31" spans="1:4" ht="18" customHeight="1" x14ac:dyDescent="0.2">
      <c r="A31" s="780" t="s">
        <v>536</v>
      </c>
      <c r="B31" s="781"/>
      <c r="C31" s="108"/>
      <c r="D31" s="38" t="s">
        <v>537</v>
      </c>
    </row>
    <row r="32" spans="1:4" ht="15.95" customHeight="1" thickBot="1" x14ac:dyDescent="0.25">
      <c r="A32" s="134" t="s">
        <v>70</v>
      </c>
      <c r="B32" s="135" t="s">
        <v>71</v>
      </c>
      <c r="C32" s="108"/>
      <c r="D32" s="38"/>
    </row>
    <row r="33" spans="1:4" ht="14.1" customHeight="1" x14ac:dyDescent="0.2">
      <c r="A33" s="132" t="s">
        <v>497</v>
      </c>
      <c r="B33" s="92"/>
      <c r="C33" s="108"/>
      <c r="D33" s="38"/>
    </row>
    <row r="34" spans="1:4" ht="14.1" customHeight="1" x14ac:dyDescent="0.2">
      <c r="A34" s="98" t="s">
        <v>521</v>
      </c>
      <c r="B34" s="90"/>
      <c r="C34" s="108"/>
      <c r="D34" s="1"/>
    </row>
    <row r="35" spans="1:4" ht="14.1" customHeight="1" x14ac:dyDescent="0.2">
      <c r="A35" s="98" t="s">
        <v>526</v>
      </c>
      <c r="B35" s="90"/>
      <c r="C35" s="108"/>
      <c r="D35" s="1"/>
    </row>
    <row r="36" spans="1:4" ht="15" customHeight="1" x14ac:dyDescent="0.2">
      <c r="A36" s="30" t="s">
        <v>527</v>
      </c>
      <c r="B36" s="91"/>
      <c r="C36" s="108"/>
      <c r="D36" s="1"/>
    </row>
    <row r="37" spans="1:4" ht="14.1" customHeight="1" x14ac:dyDescent="0.2">
      <c r="A37" s="98" t="s">
        <v>528</v>
      </c>
      <c r="B37" s="90"/>
      <c r="C37" s="108"/>
      <c r="D37" s="1"/>
    </row>
    <row r="38" spans="1:4" ht="14.1" customHeight="1" x14ac:dyDescent="0.2">
      <c r="A38" s="98" t="s">
        <v>529</v>
      </c>
      <c r="B38" s="90"/>
      <c r="C38" s="108"/>
      <c r="D38" s="1"/>
    </row>
    <row r="39" spans="1:4" ht="14.1" customHeight="1" x14ac:dyDescent="0.2">
      <c r="A39" s="98" t="s">
        <v>530</v>
      </c>
      <c r="B39" s="90"/>
      <c r="C39" s="108"/>
      <c r="D39" s="1"/>
    </row>
    <row r="40" spans="1:4" ht="14.1" customHeight="1" x14ac:dyDescent="0.2">
      <c r="A40" s="98" t="s">
        <v>531</v>
      </c>
      <c r="B40" s="90"/>
      <c r="C40" s="108"/>
      <c r="D40" s="1"/>
    </row>
    <row r="41" spans="1:4" ht="14.1" customHeight="1" x14ac:dyDescent="0.2">
      <c r="A41" s="98" t="s">
        <v>532</v>
      </c>
      <c r="B41" s="90"/>
      <c r="C41" s="108"/>
      <c r="D41" s="1"/>
    </row>
    <row r="42" spans="1:4" ht="15" customHeight="1" x14ac:dyDescent="0.2">
      <c r="A42" s="104" t="s">
        <v>533</v>
      </c>
      <c r="B42" s="136"/>
      <c r="C42" s="108"/>
      <c r="D42" s="1"/>
    </row>
    <row r="43" spans="1:4" ht="15" customHeight="1" thickBot="1" x14ac:dyDescent="0.25">
      <c r="A43" s="777"/>
      <c r="B43" s="778"/>
      <c r="C43" s="108"/>
      <c r="D43" s="1"/>
    </row>
    <row r="44" spans="1:4" ht="15.95" customHeight="1" x14ac:dyDescent="0.2">
      <c r="A44" s="780" t="s">
        <v>538</v>
      </c>
      <c r="B44" s="781"/>
      <c r="C44" s="35"/>
      <c r="D44" s="38"/>
    </row>
    <row r="45" spans="1:4" ht="15.95" customHeight="1" thickBot="1" x14ac:dyDescent="0.25">
      <c r="A45" s="134" t="s">
        <v>70</v>
      </c>
      <c r="B45" s="226" t="s">
        <v>71</v>
      </c>
      <c r="C45" s="108"/>
      <c r="D45" s="38"/>
    </row>
    <row r="46" spans="1:4" ht="15" customHeight="1" thickBot="1" x14ac:dyDescent="0.25">
      <c r="A46" s="125" t="str">
        <f>IF('6004Checklist'!C72=1,"What is the horsepower of the engine?","What is the combined horsepower of the engines?")</f>
        <v>What is the combined horsepower of the engines?</v>
      </c>
      <c r="B46" s="347" t="str">
        <f>IF(B11="","",SUM(B11,B24,B37))</f>
        <v/>
      </c>
      <c r="C46" s="241"/>
      <c r="D46" s="38" t="s">
        <v>539</v>
      </c>
    </row>
    <row r="47" spans="1:4" ht="14.25" x14ac:dyDescent="0.2">
      <c r="A47" s="764" t="s">
        <v>540</v>
      </c>
      <c r="B47" s="764"/>
      <c r="C47" s="764"/>
    </row>
  </sheetData>
  <sheetProtection algorithmName="SHA-512" hashValue="91WFDeDGbd3BsGRBTunTFYpPadf59F7TbwukxoA5FJuK5OwDKnVD7U1ZB0TZK/0i/xlVUMGCeNORmjpbwhkLIw==" saltValue="ow1TqJ6Xez6xkgzdoc41ag==" spinCount="100000" sheet="1" objects="1" scenarios="1" formatColumns="0" formatRows="0" autoFilter="0"/>
  <mergeCells count="11">
    <mergeCell ref="A47:C47"/>
    <mergeCell ref="A1:B1"/>
    <mergeCell ref="A3:B3"/>
    <mergeCell ref="A4:B4"/>
    <mergeCell ref="A5:B5"/>
    <mergeCell ref="A18:B18"/>
    <mergeCell ref="A17:B17"/>
    <mergeCell ref="A30:B30"/>
    <mergeCell ref="A43:B43"/>
    <mergeCell ref="A31:B31"/>
    <mergeCell ref="A44:B44"/>
  </mergeCells>
  <conditionalFormatting sqref="B46">
    <cfRule type="expression" dxfId="22" priority="18">
      <formula>AND($B$46&gt;1000,$B$46&lt;&gt;"")</formula>
    </cfRule>
  </conditionalFormatting>
  <dataValidations xWindow="603" yWindow="887" count="11">
    <dataValidation type="list" allowBlank="1" showErrorMessage="1" prompt="Does 30 TAC Chapter 117 apply?_x000a_Select Yes or No" sqref="B29 B16 B42" xr:uid="{00000000-0002-0000-0600-000000000000}">
      <formula1>"Yes,No"</formula1>
    </dataValidation>
    <dataValidation allowBlank="1" showErrorMessage="1" prompt="enter the manufacturer" sqref="B20 B33 B7" xr:uid="{00000000-0002-0000-0600-000001000000}"/>
    <dataValidation allowBlank="1" showErrorMessage="1" prompt="enter the model number" sqref="B21 B34 B8" xr:uid="{00000000-0002-0000-0600-000002000000}"/>
    <dataValidation allowBlank="1" showErrorMessage="1" prompt="enter the manufacture date" sqref="B22 B35 B9" xr:uid="{00000000-0002-0000-0600-000003000000}"/>
    <dataValidation type="decimal" operator="lessThanOrEqual" allowBlank="1" showErrorMessage="1" prompt="enter the horsepower rating" sqref="B37 B24 B11" xr:uid="{00000000-0002-0000-0600-000004000000}">
      <formula1>1000</formula1>
    </dataValidation>
    <dataValidation allowBlank="1" showErrorMessage="1" prompt="This cell may be used for applicant internal comments. All comments must be deleted prior to application submittal." sqref="C5:C46" xr:uid="{00000000-0002-0000-0600-000005000000}"/>
    <dataValidation type="decimal" operator="greaterThanOrEqual" allowBlank="1" showErrorMessage="1" error="Must be at least 8 feet" prompt="enter the engine stack height in feet" sqref="B23 B36 B10" xr:uid="{00000000-0002-0000-0600-000006000000}">
      <formula1>8</formula1>
    </dataValidation>
    <dataValidation type="list" allowBlank="1" showErrorMessage="1" prompt="Does NSPS JJJJ apply?_x000a_Select Yes or No" sqref="B13 B26 B39" xr:uid="{EEF2622D-BE68-486E-B990-8E85AB8EF03D}">
      <formula1>"Yes,No"</formula1>
    </dataValidation>
    <dataValidation type="list" allowBlank="1" showErrorMessage="1" prompt="Does MACT ZZZZ apply?_x000a_Select Yes or No" sqref="B14 B27 B40" xr:uid="{4660E33B-3BDD-4380-A1AE-554201955088}">
      <formula1>"Yes,No"</formula1>
    </dataValidation>
    <dataValidation type="list" allowBlank="1" showErrorMessage="1" prompt="Does NSPS IIII apply?_x000a_Select Yes or No" sqref="B15 B28 B41" xr:uid="{6BD655FB-AF1E-484E-B878-767D4A352654}">
      <formula1>"Yes,No"</formula1>
    </dataValidation>
    <dataValidation type="decimal" operator="lessThanOrEqual" allowBlank="1" showErrorMessage="1" prompt="enter NOx emission factor (g/hp-hr)" sqref="B12 B25 B38" xr:uid="{4EF89DE6-D545-4D00-8020-D96121502557}">
      <formula1>2.61</formula1>
    </dataValidation>
  </dataValidations>
  <hyperlinks>
    <hyperlink ref="A2" location="'Table11-CBP'!A1" display="Click here to go back to the Table11-CBP sheet" xr:uid="{5D6636BA-CDF9-454F-81F5-047D2AA2F3F7}"/>
    <hyperlink ref="A47:C47" location="'Public Notice'!A1" display="Click here to go to the Public Notice Sheet." xr:uid="{61AE1795-419E-4EC6-9A94-F78AC8136694}"/>
  </hyperlinks>
  <pageMargins left="0.25" right="0.25" top="1" bottom="0.5" header="0.3" footer="0.3"/>
  <pageSetup scale="80" fitToHeight="0" orientation="portrait" r:id="rId1"/>
  <headerFooter scaleWithDoc="0">
    <oddHeader>&amp;C&amp;"Arial,Bold"Texas Commission on Environmental Quality
Form PI-1S-CBP&amp;11
&amp;10&amp;A&amp;RDate: ____________
Registration #: ____________
Company: ____________</oddHeader>
    <oddFooter>&amp;LVersion 6.0&amp;CPage &amp;P</oddFooter>
  </headerFooter>
  <tableParts count="4">
    <tablePart r:id="rId2"/>
    <tablePart r:id="rId3"/>
    <tablePart r:id="rId4"/>
    <tablePart r:id="rId5"/>
  </tableParts>
  <extLst>
    <ext xmlns:x14="http://schemas.microsoft.com/office/spreadsheetml/2009/9/main" uri="{78C0D931-6437-407d-A8EE-F0AAD7539E65}">
      <x14:conditionalFormattings>
        <x14:conditionalFormatting xmlns:xm="http://schemas.microsoft.com/office/excel/2006/main">
          <x14:cfRule type="expression" priority="10" id="{EA520606-406E-4120-9EDF-7083B67E44DC}">
            <xm:f>'6004Checklist'!$C$72=1</xm:f>
            <x14:dxf>
              <numFmt numFmtId="166" formatCode=";;;"/>
              <fill>
                <patternFill>
                  <bgColor theme="0" tint="-0.499984740745262"/>
                </patternFill>
              </fill>
            </x14:dxf>
          </x14:cfRule>
          <x14:cfRule type="expression" priority="19" id="{2A0B991D-837F-4668-AC21-FBCD9489749E}">
            <xm:f>'6004Checklist'!$C$75="Yes"</xm:f>
            <x14:dxf>
              <numFmt numFmtId="166" formatCode=";;;"/>
              <fill>
                <patternFill>
                  <bgColor theme="0" tint="-0.499984740745262"/>
                </patternFill>
              </fill>
            </x14:dxf>
          </x14:cfRule>
          <xm:sqref>A18 A19:B29 A30:A31 A32:B42 A43</xm:sqref>
        </x14:conditionalFormatting>
        <x14:conditionalFormatting xmlns:xm="http://schemas.microsoft.com/office/excel/2006/main">
          <x14:cfRule type="expression" priority="9" id="{CD5B1167-7A49-495C-850B-708B4D714700}">
            <xm:f>'6004Checklist'!$C$72=2</xm:f>
            <x14:dxf>
              <numFmt numFmtId="166" formatCode=";;;"/>
              <fill>
                <patternFill>
                  <bgColor theme="0" tint="-0.499984740745262"/>
                </patternFill>
              </fill>
            </x14:dxf>
          </x14:cfRule>
          <xm:sqref>A31 A32:B42 A43</xm:sqref>
        </x14:conditionalFormatting>
        <x14:conditionalFormatting xmlns:xm="http://schemas.microsoft.com/office/excel/2006/main">
          <x14:cfRule type="expression" priority="1244" id="{543042B3-DD36-4850-83E5-406D85D6EC89}">
            <xm:f>OR('PI-1S-CBP'!$B$11&lt;&gt;"",AND('6004Checklist'!$C$72=0,'6004Checklist'!$C$72&lt;&gt;""),COUNTIF('6004Checklist'!$A$23,"*temporary*")&gt;0)</xm:f>
            <x14:dxf>
              <numFmt numFmtId="166" formatCode=";;;"/>
              <fill>
                <patternFill>
                  <bgColor theme="0" tint="-0.499984740745262"/>
                </patternFill>
              </fill>
            </x14:dxf>
          </x14:cfRule>
          <xm:sqref>A45:B47 A1:A5 C1:C47 A6:B16 A17:A18 A19:B29 A30:A31 A32:B42 A43:A44</xm:sqref>
        </x14:conditionalFormatting>
        <x14:conditionalFormatting xmlns:xm="http://schemas.microsoft.com/office/excel/2006/main">
          <x14:cfRule type="expression" priority="7" id="{00000000-000E-0000-0A00-000001000000}">
            <xm:f>'PI-1S-CBP'!$B$6= "I disagree"</xm:f>
            <x14:dxf>
              <font>
                <color theme="0" tint="-0.499984740745262"/>
              </font>
              <fill>
                <patternFill>
                  <bgColor theme="0" tint="-0.499984740745262"/>
                </patternFill>
              </fill>
            </x14:dxf>
          </x14:cfRule>
          <xm:sqref>A1:C1048576</xm:sqref>
        </x14:conditionalFormatting>
        <x14:conditionalFormatting xmlns:xm="http://schemas.microsoft.com/office/excel/2006/main">
          <x14:cfRule type="expression" priority="5" id="{A1BA0C97-C0A5-4185-9AD2-602892B1A2A1}">
            <xm:f>'6004Checklist'!$C$72=1</xm:f>
            <x14:dxf>
              <numFmt numFmtId="166" formatCode=";;;"/>
              <fill>
                <patternFill>
                  <bgColor theme="0" tint="-0.499984740745262"/>
                </patternFill>
              </fill>
            </x14:dxf>
          </x14:cfRule>
          <x14:cfRule type="expression" priority="6" id="{1AD705D3-2670-4C5A-8EEC-A2B2C808BBCA}">
            <xm:f>'6004Checklist'!$C$75="Yes"</xm:f>
            <x14:dxf>
              <numFmt numFmtId="166" formatCode=";;;"/>
              <fill>
                <patternFill>
                  <bgColor theme="0" tint="-0.499984740745262"/>
                </patternFill>
              </fill>
            </x14:dxf>
          </x14:cfRule>
          <xm:sqref>B12</xm:sqref>
        </x14:conditionalFormatting>
        <x14:conditionalFormatting xmlns:xm="http://schemas.microsoft.com/office/excel/2006/main">
          <x14:cfRule type="expression" priority="3" id="{B7245FC7-1566-4E24-A136-73F0D3710ABA}">
            <xm:f>'6004Checklist'!$C$72=1</xm:f>
            <x14:dxf>
              <numFmt numFmtId="166" formatCode=";;;"/>
              <fill>
                <patternFill>
                  <bgColor theme="0" tint="-0.499984740745262"/>
                </patternFill>
              </fill>
            </x14:dxf>
          </x14:cfRule>
          <x14:cfRule type="expression" priority="4" id="{868D3F46-AAD7-45E9-A4A5-9E842D04DC58}">
            <xm:f>'6004Checklist'!$C$75="Yes"</xm:f>
            <x14:dxf>
              <numFmt numFmtId="166" formatCode=";;;"/>
              <fill>
                <patternFill>
                  <bgColor theme="0" tint="-0.499984740745262"/>
                </patternFill>
              </fill>
            </x14:dxf>
          </x14:cfRule>
          <xm:sqref>B25</xm:sqref>
        </x14:conditionalFormatting>
        <x14:conditionalFormatting xmlns:xm="http://schemas.microsoft.com/office/excel/2006/main">
          <x14:cfRule type="expression" priority="1" id="{3DDAD1A5-36E1-4F28-BE7D-039C6E332442}">
            <xm:f>'6004Checklist'!$C$72=1</xm:f>
            <x14:dxf>
              <numFmt numFmtId="166" formatCode=";;;"/>
              <fill>
                <patternFill>
                  <bgColor theme="0" tint="-0.499984740745262"/>
                </patternFill>
              </fill>
            </x14:dxf>
          </x14:cfRule>
          <x14:cfRule type="expression" priority="2" id="{280D9B70-2DB4-44B8-B30E-F39DB6D772C5}">
            <xm:f>'6004Checklist'!$C$75="Yes"</xm:f>
            <x14:dxf>
              <numFmt numFmtId="166" formatCode=";;;"/>
              <fill>
                <patternFill>
                  <bgColor theme="0" tint="-0.499984740745262"/>
                </patternFill>
              </fill>
            </x14:dxf>
          </x14:cfRule>
          <xm:sqref>B38</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FFDCDC"/>
  </sheetPr>
  <dimension ref="A1:D80"/>
  <sheetViews>
    <sheetView showGridLines="0" zoomScaleNormal="100" workbookViewId="0">
      <selection sqref="A1:B1"/>
    </sheetView>
  </sheetViews>
  <sheetFormatPr defaultColWidth="0" defaultRowHeight="12.75" zeroHeight="1" x14ac:dyDescent="0.2"/>
  <cols>
    <col min="1" max="2" width="50.7109375" style="301" customWidth="1"/>
    <col min="3" max="3" width="50.7109375" customWidth="1"/>
    <col min="4" max="16384" width="9.140625" hidden="1"/>
  </cols>
  <sheetData>
    <row r="1" spans="1:4" s="146" customFormat="1" ht="36" customHeight="1" thickBot="1" x14ac:dyDescent="0.25">
      <c r="A1" s="796" t="s">
        <v>36</v>
      </c>
      <c r="B1" s="797"/>
      <c r="C1" s="184" t="s">
        <v>46</v>
      </c>
      <c r="D1" s="146" t="s">
        <v>541</v>
      </c>
    </row>
    <row r="2" spans="1:4" s="146" customFormat="1" ht="15" customHeight="1" thickBot="1" x14ac:dyDescent="0.25">
      <c r="A2" s="805" t="s">
        <v>542</v>
      </c>
      <c r="B2" s="805"/>
      <c r="C2" s="294"/>
    </row>
    <row r="3" spans="1:4" ht="46.5" customHeight="1" thickBot="1" x14ac:dyDescent="0.25">
      <c r="A3" s="672" t="s">
        <v>543</v>
      </c>
      <c r="B3" s="673"/>
      <c r="C3" s="247" t="s">
        <v>53</v>
      </c>
      <c r="D3" s="66"/>
    </row>
    <row r="4" spans="1:4" ht="60" customHeight="1" x14ac:dyDescent="0.2">
      <c r="A4" s="798" t="str">
        <f>IF('PI-1S-CBP'!B10&lt;&gt;"","The THSC §382.056 and corresponding rules in 30 TAC Chapter 39 (Public Notice) require that you publish a notice of intent to obtain a permit and notice of "&amp;"preliminary decision (consolidated into a single notice). Notices must be published in a newspaper of general circulation in the municipality "&amp;"where the proposed facility is or will be located (not applicable to alternative language notices). Signs must also be posted at the site in compliance with 30 TAC § 39.604(c). Additional information regarding public notice such as an overview of "&amp;"requirements, an applicability table, and a list of some common errors that may cause renotice and delays in processing your application can be found at the link below:","The THSC §382.05199 require that you publish a notice of application and public hearing. Notices must be published in a newspaper of "&amp;"general circulation in the municipality where the proposed facility is or will be located (not applicable to alternative language notices). Additional information regarding public notice such as an overview of requirements can be found at the link below:")</f>
        <v>The THSC §382.05199 require that you publish a notice of application and public hearing. Notices must be published in a newspaper of general circulation in the municipality where the proposed facility is or will be located (not applicable to alternative language notices). Additional information regarding public notice such as an overview of requirements can be found at the link below:</v>
      </c>
      <c r="B4" s="799"/>
      <c r="C4" s="570"/>
    </row>
    <row r="5" spans="1:4" ht="15" customHeight="1" x14ac:dyDescent="0.2">
      <c r="A5" s="674" t="s">
        <v>544</v>
      </c>
      <c r="B5" s="804"/>
      <c r="C5" s="571"/>
      <c r="D5" t="s">
        <v>545</v>
      </c>
    </row>
    <row r="6" spans="1:4" ht="15" customHeight="1" thickBot="1" x14ac:dyDescent="0.25">
      <c r="A6" s="679" t="s">
        <v>546</v>
      </c>
      <c r="B6" s="803"/>
      <c r="C6" s="571"/>
      <c r="D6" t="s">
        <v>547</v>
      </c>
    </row>
    <row r="7" spans="1:4" ht="30" customHeight="1" thickBot="1" x14ac:dyDescent="0.25">
      <c r="A7" s="766" t="s">
        <v>548</v>
      </c>
      <c r="B7" s="762"/>
      <c r="C7" s="21"/>
    </row>
    <row r="8" spans="1:4" ht="15" customHeight="1" thickBot="1" x14ac:dyDescent="0.25">
      <c r="A8" s="766"/>
      <c r="B8" s="762"/>
      <c r="C8" s="21"/>
    </row>
    <row r="9" spans="1:4" ht="18" customHeight="1" thickBot="1" x14ac:dyDescent="0.25">
      <c r="A9" s="171" t="s">
        <v>549</v>
      </c>
      <c r="B9" s="172"/>
      <c r="C9" s="21"/>
    </row>
    <row r="10" spans="1:4" ht="15" customHeight="1" x14ac:dyDescent="0.2">
      <c r="A10" s="173" t="s">
        <v>550</v>
      </c>
      <c r="B10" s="177"/>
      <c r="C10" s="21"/>
    </row>
    <row r="11" spans="1:4" ht="60" customHeight="1" thickBot="1" x14ac:dyDescent="0.25">
      <c r="A11" s="660" t="s">
        <v>551</v>
      </c>
      <c r="B11" s="791"/>
      <c r="C11" s="21"/>
    </row>
    <row r="12" spans="1:4" ht="15" customHeight="1" thickBot="1" x14ac:dyDescent="0.25">
      <c r="A12" s="257" t="s">
        <v>70</v>
      </c>
      <c r="B12" s="564" t="s">
        <v>71</v>
      </c>
      <c r="C12" s="21"/>
    </row>
    <row r="13" spans="1:4" ht="15" customHeight="1" x14ac:dyDescent="0.2">
      <c r="A13" s="187" t="s">
        <v>93</v>
      </c>
      <c r="B13" s="181"/>
      <c r="C13" s="21"/>
    </row>
    <row r="14" spans="1:4" ht="15" customHeight="1" x14ac:dyDescent="0.2">
      <c r="A14" s="188" t="s">
        <v>94</v>
      </c>
      <c r="B14" s="169"/>
      <c r="C14" s="21"/>
    </row>
    <row r="15" spans="1:4" ht="15" customHeight="1" x14ac:dyDescent="0.2">
      <c r="A15" s="183" t="s">
        <v>95</v>
      </c>
      <c r="B15" s="169"/>
      <c r="C15" s="21"/>
    </row>
    <row r="16" spans="1:4" ht="15" customHeight="1" x14ac:dyDescent="0.2">
      <c r="A16" s="188" t="s">
        <v>96</v>
      </c>
      <c r="B16" s="181"/>
      <c r="C16" s="21"/>
    </row>
    <row r="17" spans="1:3" ht="15" customHeight="1" x14ac:dyDescent="0.2">
      <c r="A17" s="188" t="s">
        <v>552</v>
      </c>
      <c r="B17" s="169"/>
      <c r="C17" s="21"/>
    </row>
    <row r="18" spans="1:3" ht="15" customHeight="1" x14ac:dyDescent="0.2">
      <c r="A18" s="188" t="s">
        <v>97</v>
      </c>
      <c r="B18" s="169"/>
      <c r="C18" s="21"/>
    </row>
    <row r="19" spans="1:3" ht="15" customHeight="1" x14ac:dyDescent="0.2">
      <c r="A19" s="188" t="s">
        <v>98</v>
      </c>
      <c r="B19" s="169"/>
      <c r="C19" s="21"/>
    </row>
    <row r="20" spans="1:3" ht="15" customHeight="1" x14ac:dyDescent="0.2">
      <c r="A20" s="188" t="s">
        <v>99</v>
      </c>
      <c r="B20" s="169"/>
      <c r="C20" s="21"/>
    </row>
    <row r="21" spans="1:3" ht="15" customHeight="1" x14ac:dyDescent="0.2">
      <c r="A21" s="183" t="s">
        <v>100</v>
      </c>
      <c r="B21" s="169"/>
      <c r="C21" s="21"/>
    </row>
    <row r="22" spans="1:3" ht="15" customHeight="1" x14ac:dyDescent="0.2">
      <c r="A22" s="183" t="s">
        <v>101</v>
      </c>
      <c r="B22" s="169"/>
      <c r="C22" s="21"/>
    </row>
    <row r="23" spans="1:3" ht="15" customHeight="1" x14ac:dyDescent="0.2">
      <c r="A23" s="188" t="s">
        <v>102</v>
      </c>
      <c r="B23" s="180"/>
      <c r="C23" s="21"/>
    </row>
    <row r="24" spans="1:3" ht="15" customHeight="1" x14ac:dyDescent="0.2">
      <c r="A24" s="188" t="s">
        <v>103</v>
      </c>
      <c r="B24" s="180"/>
      <c r="C24" s="21"/>
    </row>
    <row r="25" spans="1:3" ht="15" customHeight="1" x14ac:dyDescent="0.2">
      <c r="A25" s="189" t="s">
        <v>104</v>
      </c>
      <c r="B25" s="179"/>
      <c r="C25" s="21"/>
    </row>
    <row r="26" spans="1:3" ht="30" customHeight="1" x14ac:dyDescent="0.2">
      <c r="A26" s="792" t="s">
        <v>553</v>
      </c>
      <c r="B26" s="792"/>
      <c r="C26" s="21"/>
    </row>
    <row r="27" spans="1:3" ht="15" customHeight="1" thickBot="1" x14ac:dyDescent="0.25">
      <c r="A27" s="252" t="s">
        <v>70</v>
      </c>
      <c r="B27" s="248" t="s">
        <v>71</v>
      </c>
      <c r="C27" s="21"/>
    </row>
    <row r="28" spans="1:3" ht="15" customHeight="1" x14ac:dyDescent="0.2">
      <c r="A28" s="249" t="s">
        <v>93</v>
      </c>
      <c r="B28" s="181"/>
      <c r="C28" s="21"/>
    </row>
    <row r="29" spans="1:3" ht="15" customHeight="1" x14ac:dyDescent="0.2">
      <c r="A29" s="250" t="s">
        <v>94</v>
      </c>
      <c r="B29" s="169"/>
      <c r="C29" s="21"/>
    </row>
    <row r="30" spans="1:3" ht="15" customHeight="1" x14ac:dyDescent="0.2">
      <c r="A30" s="176" t="s">
        <v>95</v>
      </c>
      <c r="B30" s="169"/>
      <c r="C30" s="21"/>
    </row>
    <row r="31" spans="1:3" ht="15" customHeight="1" x14ac:dyDescent="0.2">
      <c r="A31" s="251" t="s">
        <v>96</v>
      </c>
      <c r="B31" s="181"/>
      <c r="C31" s="21"/>
    </row>
    <row r="32" spans="1:3" ht="15" customHeight="1" x14ac:dyDescent="0.2">
      <c r="A32" s="188" t="s">
        <v>552</v>
      </c>
      <c r="B32" s="169"/>
      <c r="C32" s="21"/>
    </row>
    <row r="33" spans="1:4" ht="15" customHeight="1" x14ac:dyDescent="0.2">
      <c r="A33" s="188" t="s">
        <v>97</v>
      </c>
      <c r="B33" s="169"/>
      <c r="C33" s="21"/>
    </row>
    <row r="34" spans="1:4" ht="15" customHeight="1" x14ac:dyDescent="0.2">
      <c r="A34" s="188" t="s">
        <v>98</v>
      </c>
      <c r="B34" s="169"/>
      <c r="C34" s="21"/>
    </row>
    <row r="35" spans="1:4" ht="15" customHeight="1" x14ac:dyDescent="0.2">
      <c r="A35" s="188" t="s">
        <v>99</v>
      </c>
      <c r="B35" s="169"/>
      <c r="C35" s="21"/>
    </row>
    <row r="36" spans="1:4" ht="15" customHeight="1" x14ac:dyDescent="0.2">
      <c r="A36" s="183" t="s">
        <v>100</v>
      </c>
      <c r="B36" s="169"/>
      <c r="C36" s="21"/>
    </row>
    <row r="37" spans="1:4" ht="15" customHeight="1" x14ac:dyDescent="0.2">
      <c r="A37" s="183" t="s">
        <v>101</v>
      </c>
      <c r="B37" s="169"/>
      <c r="C37" s="21"/>
    </row>
    <row r="38" spans="1:4" ht="15" customHeight="1" x14ac:dyDescent="0.2">
      <c r="A38" s="188" t="s">
        <v>102</v>
      </c>
      <c r="B38" s="180"/>
      <c r="C38" s="21"/>
    </row>
    <row r="39" spans="1:4" ht="15" customHeight="1" x14ac:dyDescent="0.2">
      <c r="A39" s="188" t="s">
        <v>103</v>
      </c>
      <c r="B39" s="180"/>
      <c r="C39" s="21"/>
    </row>
    <row r="40" spans="1:4" ht="15" customHeight="1" thickBot="1" x14ac:dyDescent="0.25">
      <c r="A40" s="189" t="s">
        <v>104</v>
      </c>
      <c r="B40" s="179"/>
      <c r="C40" s="21"/>
    </row>
    <row r="41" spans="1:4" ht="225" customHeight="1" x14ac:dyDescent="0.2">
      <c r="A41" s="672" t="s">
        <v>554</v>
      </c>
      <c r="B41" s="800"/>
      <c r="C41" s="21"/>
      <c r="D41" t="s">
        <v>555</v>
      </c>
    </row>
    <row r="42" spans="1:4" ht="15" customHeight="1" thickBot="1" x14ac:dyDescent="0.25">
      <c r="A42" s="185" t="s">
        <v>70</v>
      </c>
      <c r="B42" s="564" t="s">
        <v>71</v>
      </c>
      <c r="C42" s="21"/>
    </row>
    <row r="43" spans="1:4" ht="15" customHeight="1" x14ac:dyDescent="0.2">
      <c r="A43" s="190" t="s">
        <v>556</v>
      </c>
      <c r="B43" s="181"/>
      <c r="C43" s="21"/>
    </row>
    <row r="44" spans="1:4" ht="15" customHeight="1" x14ac:dyDescent="0.2">
      <c r="A44" s="189" t="s">
        <v>557</v>
      </c>
      <c r="B44" s="169"/>
      <c r="C44" s="21"/>
    </row>
    <row r="45" spans="1:4" ht="15" customHeight="1" x14ac:dyDescent="0.2">
      <c r="A45" s="189" t="s">
        <v>98</v>
      </c>
      <c r="B45" s="169"/>
      <c r="C45" s="21"/>
    </row>
    <row r="46" spans="1:4" ht="15" customHeight="1" x14ac:dyDescent="0.2">
      <c r="A46" s="188" t="s">
        <v>99</v>
      </c>
      <c r="B46" s="169"/>
      <c r="C46" s="21"/>
    </row>
    <row r="47" spans="1:4" ht="15" customHeight="1" x14ac:dyDescent="0.2">
      <c r="A47" s="188" t="s">
        <v>101</v>
      </c>
      <c r="B47" s="169"/>
      <c r="C47" s="21"/>
    </row>
    <row r="48" spans="1:4" ht="15" customHeight="1" x14ac:dyDescent="0.2">
      <c r="A48" s="189" t="s">
        <v>558</v>
      </c>
      <c r="B48" s="179"/>
      <c r="C48" s="21"/>
    </row>
    <row r="49" spans="1:4" ht="33" customHeight="1" x14ac:dyDescent="0.2">
      <c r="A49" s="254" t="s">
        <v>559</v>
      </c>
      <c r="B49" s="255"/>
      <c r="C49" s="21"/>
    </row>
    <row r="50" spans="1:4" ht="120" customHeight="1" thickBot="1" x14ac:dyDescent="0.25">
      <c r="A50" s="801" t="s">
        <v>560</v>
      </c>
      <c r="B50" s="802"/>
      <c r="C50" s="21"/>
    </row>
    <row r="51" spans="1:4" ht="15" customHeight="1" thickBot="1" x14ac:dyDescent="0.25">
      <c r="A51" s="253" t="s">
        <v>70</v>
      </c>
      <c r="B51" s="565" t="s">
        <v>71</v>
      </c>
      <c r="C51" s="21"/>
    </row>
    <row r="52" spans="1:4" ht="30" customHeight="1" x14ac:dyDescent="0.2">
      <c r="A52" s="191" t="s">
        <v>561</v>
      </c>
      <c r="B52" s="566"/>
      <c r="C52" s="21"/>
    </row>
    <row r="53" spans="1:4" ht="60" customHeight="1" x14ac:dyDescent="0.2">
      <c r="A53" s="176" t="s">
        <v>562</v>
      </c>
      <c r="B53" s="178"/>
      <c r="C53" s="21"/>
    </row>
    <row r="54" spans="1:4" ht="30" customHeight="1" x14ac:dyDescent="0.2">
      <c r="A54" s="174" t="s">
        <v>563</v>
      </c>
      <c r="B54" s="169"/>
      <c r="C54" s="21"/>
    </row>
    <row r="55" spans="1:4" ht="15" customHeight="1" x14ac:dyDescent="0.2">
      <c r="A55" s="174" t="s">
        <v>564</v>
      </c>
      <c r="B55" s="169"/>
      <c r="C55" s="21"/>
    </row>
    <row r="56" spans="1:4" ht="15" customHeight="1" x14ac:dyDescent="0.2">
      <c r="A56" s="174" t="s">
        <v>565</v>
      </c>
      <c r="B56" s="169"/>
      <c r="C56" s="21"/>
    </row>
    <row r="57" spans="1:4" ht="15" customHeight="1" x14ac:dyDescent="0.2">
      <c r="A57" s="192" t="s">
        <v>566</v>
      </c>
      <c r="B57" s="179"/>
      <c r="C57" s="21"/>
    </row>
    <row r="58" spans="1:4" ht="15" customHeight="1" thickBot="1" x14ac:dyDescent="0.25">
      <c r="A58" s="793"/>
      <c r="B58" s="793"/>
      <c r="C58" s="21"/>
    </row>
    <row r="59" spans="1:4" ht="18" customHeight="1" x14ac:dyDescent="0.2">
      <c r="A59" s="794" t="s">
        <v>567</v>
      </c>
      <c r="B59" s="795"/>
      <c r="C59" s="21"/>
      <c r="D59" t="s">
        <v>555</v>
      </c>
    </row>
    <row r="60" spans="1:4" ht="60" customHeight="1" x14ac:dyDescent="0.2">
      <c r="A60" s="786" t="s">
        <v>568</v>
      </c>
      <c r="B60" s="787"/>
      <c r="C60" s="21"/>
    </row>
    <row r="61" spans="1:4" ht="15" customHeight="1" thickBot="1" x14ac:dyDescent="0.25">
      <c r="A61" s="233" t="s">
        <v>70</v>
      </c>
      <c r="B61" s="564" t="s">
        <v>71</v>
      </c>
      <c r="C61" s="21"/>
    </row>
    <row r="62" spans="1:4" ht="60" customHeight="1" x14ac:dyDescent="0.2">
      <c r="A62" s="191" t="s">
        <v>569</v>
      </c>
      <c r="B62" s="186"/>
      <c r="C62" s="21"/>
    </row>
    <row r="63" spans="1:4" ht="45" customHeight="1" x14ac:dyDescent="0.2">
      <c r="A63" s="176" t="s">
        <v>570</v>
      </c>
      <c r="B63" s="178"/>
      <c r="C63" s="21"/>
      <c r="D63" t="s">
        <v>571</v>
      </c>
    </row>
    <row r="64" spans="1:4" ht="45" customHeight="1" x14ac:dyDescent="0.2">
      <c r="A64" s="176" t="s">
        <v>572</v>
      </c>
      <c r="B64" s="178"/>
      <c r="C64" s="21"/>
      <c r="D64" t="s">
        <v>571</v>
      </c>
    </row>
    <row r="65" spans="1:4" ht="45" customHeight="1" x14ac:dyDescent="0.2">
      <c r="A65" s="176" t="s">
        <v>573</v>
      </c>
      <c r="B65" s="178"/>
      <c r="C65" s="21"/>
      <c r="D65" t="s">
        <v>571</v>
      </c>
    </row>
    <row r="66" spans="1:4" ht="15" customHeight="1" x14ac:dyDescent="0.2">
      <c r="A66" s="106" t="s">
        <v>574</v>
      </c>
      <c r="B66" s="193" t="str">
        <f>IF(OR(B62="no",B63="Yes",B64="Yes",B65="Yes"),"No",IF(AND(B62="yes",B63="no",B64="no",B65="no"),"Yes",""))</f>
        <v/>
      </c>
      <c r="C66" s="21"/>
      <c r="D66" t="s">
        <v>113</v>
      </c>
    </row>
    <row r="67" spans="1:4" ht="15" customHeight="1" thickBot="1" x14ac:dyDescent="0.25">
      <c r="A67" s="751"/>
      <c r="B67" s="751"/>
      <c r="C67" s="21"/>
    </row>
    <row r="68" spans="1:4" ht="18" customHeight="1" x14ac:dyDescent="0.2">
      <c r="A68" s="303" t="s">
        <v>575</v>
      </c>
      <c r="B68" s="567"/>
      <c r="C68" s="21"/>
    </row>
    <row r="69" spans="1:4" ht="30" customHeight="1" x14ac:dyDescent="0.2">
      <c r="A69" s="686" t="s">
        <v>576</v>
      </c>
      <c r="B69" s="788"/>
      <c r="C69" s="21"/>
    </row>
    <row r="70" spans="1:4" ht="17.100000000000001" customHeight="1" x14ac:dyDescent="0.2">
      <c r="A70" s="789" t="s">
        <v>577</v>
      </c>
      <c r="B70" s="790"/>
      <c r="C70" s="21"/>
    </row>
    <row r="71" spans="1:4" ht="17.100000000000001" customHeight="1" thickBot="1" x14ac:dyDescent="0.25">
      <c r="A71" s="302" t="s">
        <v>70</v>
      </c>
      <c r="B71" s="568" t="s">
        <v>71</v>
      </c>
      <c r="C71" s="21"/>
    </row>
    <row r="72" spans="1:4" ht="32.25" customHeight="1" x14ac:dyDescent="0.2">
      <c r="A72" s="86" t="s">
        <v>578</v>
      </c>
      <c r="B72" s="569"/>
      <c r="C72" s="21"/>
    </row>
    <row r="73" spans="1:4" ht="62.1" customHeight="1" thickBot="1" x14ac:dyDescent="0.25">
      <c r="A73" s="118" t="s">
        <v>579</v>
      </c>
      <c r="B73" s="29"/>
      <c r="C73" s="572"/>
    </row>
    <row r="74" spans="1:4" ht="14.25" customHeight="1" x14ac:dyDescent="0.2">
      <c r="A74" s="182" t="s">
        <v>580</v>
      </c>
      <c r="B74" s="306"/>
      <c r="C74" s="304"/>
    </row>
    <row r="75" spans="1:4" ht="12.75" hidden="1" customHeight="1" x14ac:dyDescent="0.2">
      <c r="A75" s="305"/>
      <c r="B75" s="305"/>
    </row>
    <row r="76" spans="1:4" ht="13.5" hidden="1" customHeight="1" x14ac:dyDescent="0.2">
      <c r="C76" s="2"/>
    </row>
    <row r="77" spans="1:4" ht="12.75" hidden="1" customHeight="1" x14ac:dyDescent="0.2">
      <c r="C77" s="2"/>
    </row>
    <row r="78" spans="1:4" ht="12.75" hidden="1" customHeight="1" x14ac:dyDescent="0.2"/>
    <row r="79" spans="1:4" ht="12.75" hidden="1" customHeight="1" x14ac:dyDescent="0.2"/>
    <row r="80" spans="1:4" ht="12.75" hidden="1" customHeight="1" x14ac:dyDescent="0.2"/>
  </sheetData>
  <sheetProtection algorithmName="SHA-512" hashValue="qcy22Ean21PqYatHt2Wvw1xkCX/zEK/WoTdNjMHABEglhXon5HlRErORzn4N7OpcnNTTdw03dqsqOAR2Wv0EnQ==" saltValue="ozE2Hl3zQxA5D2YUBnEZPw==" spinCount="100000" sheet="1" objects="1" scenarios="1" formatColumns="0" formatRows="0" autoFilter="0"/>
  <mergeCells count="18">
    <mergeCell ref="A1:B1"/>
    <mergeCell ref="A3:B3"/>
    <mergeCell ref="A4:B4"/>
    <mergeCell ref="A41:B41"/>
    <mergeCell ref="A50:B50"/>
    <mergeCell ref="A7:B7"/>
    <mergeCell ref="A8:B8"/>
    <mergeCell ref="A6:B6"/>
    <mergeCell ref="A5:B5"/>
    <mergeCell ref="A2:B2"/>
    <mergeCell ref="A60:B60"/>
    <mergeCell ref="A69:B69"/>
    <mergeCell ref="A70:B70"/>
    <mergeCell ref="A11:B11"/>
    <mergeCell ref="A26:B26"/>
    <mergeCell ref="A58:B58"/>
    <mergeCell ref="A67:B67"/>
    <mergeCell ref="A59:B59"/>
  </mergeCells>
  <conditionalFormatting sqref="A54:B58">
    <cfRule type="expression" dxfId="21" priority="1041">
      <formula>AND($B$52="no",$B$53="no")</formula>
    </cfRule>
  </conditionalFormatting>
  <conditionalFormatting sqref="A63:B65">
    <cfRule type="expression" dxfId="20" priority="1036">
      <formula>$B$62="no"</formula>
    </cfRule>
  </conditionalFormatting>
  <conditionalFormatting sqref="A64:B65">
    <cfRule type="expression" dxfId="19" priority="1038">
      <formula>$B$63="yes"</formula>
    </cfRule>
  </conditionalFormatting>
  <conditionalFormatting sqref="A65:B65">
    <cfRule type="expression" dxfId="18" priority="1040">
      <formula>$B$64="yes"</formula>
    </cfRule>
  </conditionalFormatting>
  <conditionalFormatting sqref="A73:B73">
    <cfRule type="expression" dxfId="17" priority="1043">
      <formula>AND($B$52="NO",$B$53="NO")</formula>
    </cfRule>
  </conditionalFormatting>
  <conditionalFormatting sqref="B66">
    <cfRule type="expression" dxfId="15" priority="1016">
      <formula>$B$66="yes"</formula>
    </cfRule>
  </conditionalFormatting>
  <dataValidations count="50">
    <dataValidation allowBlank="1" showErrorMessage="1" prompt="Enter the title of the Responsible Person." sqref="A16 A31" xr:uid="{00000000-0002-0000-0700-000001000000}"/>
    <dataValidation allowBlank="1" showErrorMessage="1" prompt="Enter the email address of the Responsible Person." sqref="A25 A40" xr:uid="{00000000-0002-0000-0700-000002000000}"/>
    <dataValidation allowBlank="1" showErrorMessage="1" prompt="Enter the mailing address of the Responsible Person." sqref="A18:A19 A33:A34" xr:uid="{00000000-0002-0000-0700-000003000000}"/>
    <dataValidation allowBlank="1" showErrorMessage="1" prompt="Enter the fax number of the Responsible Person." sqref="A24 A39" xr:uid="{00000000-0002-0000-0700-000004000000}"/>
    <dataValidation type="list" allowBlank="1" showErrorMessage="1" promptTitle="If public notice is needed:" prompt="Does the company (including parent and subsidiary companies) have fewer than 100 employees or less than $6 million in annual gross receipts? Enter or select &quot;Yes&quot; or &quot;No&quot;." sqref="B62" xr:uid="{00000000-0002-0000-0700-000005000000}">
      <formula1>"Yes,No"</formula1>
    </dataValidation>
    <dataValidation type="list" allowBlank="1" showErrorMessage="1" promptTitle="If public notice is needed:" prompt="Is the site a major source under 30 TAC Chapter 122, Federal Operating Permit Program? Enter or select &quot;Yes&quot; or &quot;No&quot;." sqref="B63" xr:uid="{00000000-0002-0000-0700-000006000000}">
      <formula1>"Yes,No"</formula1>
    </dataValidation>
    <dataValidation type="list" allowBlank="1" showErrorMessage="1" promptTitle="If public notice is needed:" prompt="Are the site emissions of any individual air contaminant greater than or equal to 50 tpy? Enter or select &quot;Yes&quot; or &quot;No&quot;." sqref="B64" xr:uid="{00000000-0002-0000-0700-000007000000}">
      <formula1>"Yes,No"</formula1>
    </dataValidation>
    <dataValidation type="list" allowBlank="1" showErrorMessage="1" promptTitle="If public notice is needed:" prompt="Are the site emissions of all air contaminants combined greater than or equal to 75 tpy? Enter or select &quot;Yes&quot; or &quot;No&quot;." sqref="B65" xr:uid="{00000000-0002-0000-0700-000008000000}">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0 A60:A61 A41:A42 A50:A51 A3 A5:A6" xr:uid="{00000000-0002-0000-0700-000009000000}">
      <formula1>1</formula1>
    </dataValidation>
    <dataValidation allowBlank="1" showErrorMessage="1" prompt="Enter the company name of the Responsible Person." sqref="A17 A32" xr:uid="{00000000-0002-0000-0700-00000A000000}"/>
    <dataValidation type="list" allowBlank="1" showErrorMessage="1" promptTitle="If public notice is needed:" prompt="Are the site emissions of all air contaminant greater than 75 tpy? Enter or select &quot;Yes&quot; or &quot;No&quot;." sqref="B65" xr:uid="{00000000-0002-0000-0700-00000B000000}">
      <formula1>YesNo</formula1>
    </dataValidation>
    <dataValidation allowBlank="1" showErrorMessage="1" promptTitle="Internal Comments" prompt="This cell intentionally left blank for internal comments. All internal comments must be submitted prior to application submittal." sqref="C1:C6" xr:uid="{00000000-0002-0000-0700-00002D000000}"/>
    <dataValidation operator="greaterThan" allowBlank="1" showInputMessage="1" sqref="A4" xr:uid="{00000000-0002-0000-0700-00002F000000}"/>
    <dataValidation type="list" allowBlank="1" showErrorMessage="1" prompt="Is a Plain Language Summary as required by 30 TAC § 39.405(k) provided with the application? Select or enter &quot;Yes&quot;." sqref="B72" xr:uid="{FCF9D45C-D654-4353-B1C1-968DE96C343B}">
      <formula1>"Yes"</formula1>
    </dataValidation>
    <dataValidation type="list" allowBlank="1" showErrorMessage="1" prompt="Is a Plain Language Summary in an alternative language as required by 30 TAC § 39.426(c) provided with the application? Select or enter &quot;Yes&quot;." sqref="B73" xr:uid="{BB62CC9A-E774-4530-A0D4-7B9454A928C0}">
      <formula1>"Yes"</formula1>
    </dataValidation>
    <dataValidation allowBlank="1" showErrorMessage="1" sqref="A1:A2" xr:uid="{53B95DE0-49C9-447E-A6E1-BD9ED78EAD30}"/>
    <dataValidation allowBlank="1" showErrorMessage="1" promptTitle="Internal Comments" prompt="This cell may be used for applicant internal comments. All comments must be deleted prior to application submittal." sqref="C7:C73" xr:uid="{00000000-0002-0000-0700-00002E000000}"/>
    <dataValidation allowBlank="1" showErrorMessage="1" promptTitle="Bilingual Program" prompt="List any languages required by the bilingual program, if applicable. Use separate lines for more than one additional language." sqref="B54 B55 B56 B57" xr:uid="{00000000-0002-0000-0700-00000C000000}"/>
    <dataValidation type="list" allowBlank="1" showErrorMessage="1" promptTitle="Bilingual Program" prompt="Are the children enrolled at the elementary/middle school closest to the facility eligible to be enrolled in a bilingual program provided by the district? Enter or select &quot;Yes&quot; or &quot;No&quot;." sqref="B53" xr:uid="{00000000-0002-0000-0700-00000D000000}">
      <formula1>"Yes,No"</formula1>
    </dataValidation>
    <dataValidation type="list" allowBlank="1" showErrorMessage="1" promptTitle="Bilingual Program" prompt="Is a bilingual program required by the Texas Education Code in the School District? Enter or select &quot;Yes&quot; or &quot;No&quot;." sqref="B52" xr:uid="{00000000-0002-0000-0700-00002C000000}">
      <formula1>"Yes,No"</formula1>
    </dataValidation>
    <dataValidation type="list" allowBlank="1" showErrorMessage="1" promptTitle="If public notice is needed:" prompt="Enter or select the county of the public place." sqref="B48" xr:uid="{00000000-0002-0000-0700-000000000000}">
      <formula1>Counties</formula1>
    </dataValidation>
    <dataValidation allowBlank="1" showErrorMessage="1" promptTitle="If public notice is needed" prompt="Enter the name of the Public Place." sqref="B43" xr:uid="{00000000-0002-0000-0700-00000F000000}"/>
    <dataValidation allowBlank="1" showErrorMessage="1" promptTitle="If public notice is needed" prompt="Enter the ZIP code of the Public Place." sqref="B47" xr:uid="{00000000-0002-0000-0700-000010000000}"/>
    <dataValidation allowBlank="1" showErrorMessage="1" promptTitle="If public notice is needed" prompt="Enter the city of the Public Place." sqref="B46" xr:uid="{00000000-0002-0000-0700-000011000000}"/>
    <dataValidation allowBlank="1" showErrorMessage="1" promptTitle="If public notice is needed" prompt="Enter the physical address of the Public Place." sqref="B44:B45" xr:uid="{00000000-0002-0000-0700-000012000000}"/>
    <dataValidation type="list" errorStyle="information" allowBlank="1" showErrorMessage="1" errorTitle="Public Place Warning" error="The public place availability must be pre-arranged and indicated as such on this form. Please enter or select &quot;Yes&quot; to confirm the public place is available." promptTitle="If public notice is needed:" prompt="Has the public place granted authorization to place the application for public viewing and copying? Enter or select &quot;Yes&quot; when verified." sqref="B49" xr:uid="{00000000-0002-0000-0700-00002B000000}">
      <formula1>"Yes"</formula1>
    </dataValidation>
    <dataValidation allowBlank="1" showErrorMessage="1" promptTitle="Technical Contact for Publishing" prompt="Enter the prefix of the Technical Contact for Publishing, such as Mr., Ms., Dr., etc." sqref="B28" xr:uid="{00000000-0002-0000-0700-000013000000}"/>
    <dataValidation allowBlank="1" showErrorMessage="1" promptTitle="Technical Contact for Publishing" prompt="Enter the email address of the Technical Contact for Publishing." sqref="B40" xr:uid="{00000000-0002-0000-0700-000014000000}"/>
    <dataValidation allowBlank="1" showErrorMessage="1" promptTitle="Technical Contact for Publishing" prompt="Enter the fax number of the Technical Contact for Publishing." sqref="B39" xr:uid="{00000000-0002-0000-0700-000015000000}"/>
    <dataValidation allowBlank="1" showErrorMessage="1" promptTitle="Technical Contact for Publishing" prompt="Enter the telephone number of the Technical Contact for Publishing." sqref="B38" xr:uid="{00000000-0002-0000-0700-000016000000}"/>
    <dataValidation allowBlank="1" showErrorMessage="1" promptTitle="Technical Contact for Publishing" prompt="Enter the ZIP code of the Technical Contact for Publishing." sqref="B37" xr:uid="{00000000-0002-0000-0700-000017000000}"/>
    <dataValidation allowBlank="1" showErrorMessage="1" promptTitle="Technical Contact for Publishing" prompt="Enter the state of the Technical Contact for Publishing." sqref="B36" xr:uid="{00000000-0002-0000-0700-000018000000}"/>
    <dataValidation allowBlank="1" showErrorMessage="1" promptTitle="Technical Contact for Publishing" prompt="Enter the city of the Technical Contact for Publishing." sqref="B35" xr:uid="{00000000-0002-0000-0700-000019000000}"/>
    <dataValidation allowBlank="1" showErrorMessage="1" promptTitle="Technical Contact for Publishing" prompt="Enter the mailing address of the Technical Contact for Publishing." sqref="B33:B34" xr:uid="{00000000-0002-0000-0700-00001A000000}"/>
    <dataValidation allowBlank="1" showErrorMessage="1" promptTitle="Technical Contact for Publishing" prompt="Enter the company name of the Technical Contact for Publishing." sqref="B32" xr:uid="{00000000-0002-0000-0700-00001B000000}"/>
    <dataValidation allowBlank="1" showErrorMessage="1" promptTitle="Technical Contact for Publishing" prompt="Enter the title of the Technical Contact for Publishing." sqref="B31" xr:uid="{00000000-0002-0000-0700-00001C000000}"/>
    <dataValidation allowBlank="1" showErrorMessage="1" promptTitle="Technical Contact for Publishing" prompt="Enter the last name of the Technical Contact for Publishing." sqref="B30" xr:uid="{00000000-0002-0000-0700-00001D000000}"/>
    <dataValidation allowBlank="1" showErrorMessage="1" promptTitle="Technical Contact for Publishing" prompt="Enter the first name of the Technical Contact for Publishing." sqref="B29" xr:uid="{00000000-0002-0000-0700-00001E000000}"/>
    <dataValidation allowBlank="1" showErrorMessage="1" promptTitle="Person Responsible - Publishing" prompt="Enter the email address of the person responsible for publishing." sqref="B25" xr:uid="{00000000-0002-0000-0700-00001F000000}"/>
    <dataValidation allowBlank="1" showErrorMessage="1" promptTitle="Person Responsible - Publishing" prompt="Enter the fax number of the Person Responsible for Publishing." sqref="B24" xr:uid="{00000000-0002-0000-0700-000020000000}"/>
    <dataValidation allowBlank="1" showErrorMessage="1" promptTitle="Person Responsible - Publishing" prompt="Enter the telephone number of the Person Responsible for Publishing." sqref="B23" xr:uid="{00000000-0002-0000-0700-000021000000}"/>
    <dataValidation allowBlank="1" showErrorMessage="1" promptTitle="Person Responsible - Publishing" prompt="Enter the ZIP code of the Person Responsible for Publishing." sqref="B22" xr:uid="{00000000-0002-0000-0700-000022000000}"/>
    <dataValidation allowBlank="1" showErrorMessage="1" promptTitle="Person Responsible - Publishing" prompt="Enter the state of the Person Responsible for Publishing." sqref="B21" xr:uid="{00000000-0002-0000-0700-000023000000}"/>
    <dataValidation allowBlank="1" showErrorMessage="1" promptTitle="Person Responsible - Publishing" prompt="Enter the city of the Person Responsible for Publishing." sqref="B20" xr:uid="{00000000-0002-0000-0700-000024000000}"/>
    <dataValidation allowBlank="1" showErrorMessage="1" promptTitle="Person Responsible - Publishing" prompt="Enter the mailing address of the Person Responsible for Publishing." sqref="B19 B18" xr:uid="{00000000-0002-0000-0700-000025000000}"/>
    <dataValidation allowBlank="1" showErrorMessage="1" promptTitle="Person Responsible - Publishing" prompt="Enter the company name of the Person Responsible for Publishing." sqref="B17" xr:uid="{00000000-0002-0000-0700-000026000000}"/>
    <dataValidation allowBlank="1" showErrorMessage="1" promptTitle="Person Responsible - Publishing" prompt="Enter the title of the Person Responsible for Publishing." sqref="B16" xr:uid="{00000000-0002-0000-0700-000027000000}"/>
    <dataValidation allowBlank="1" showErrorMessage="1" promptTitle="Person Responsible - Publishing" prompt="Enter the last name of the Person Responsible for Publishing." sqref="B15" xr:uid="{00000000-0002-0000-0700-000028000000}"/>
    <dataValidation allowBlank="1" showErrorMessage="1" promptTitle="Person Responsible - Publishing" prompt="Enter the first name of the Person Responsible for Publishing." sqref="B14" xr:uid="{00000000-0002-0000-0700-000029000000}"/>
    <dataValidation allowBlank="1" showErrorMessage="1" promptTitle="Person Responsible - Publishing" prompt="Enter the prefix of the Person Responsible for Publishing, such as Mr., Ms., Dr., etc." sqref="B13" xr:uid="{00000000-0002-0000-0700-00002A000000}"/>
  </dataValidations>
  <hyperlinks>
    <hyperlink ref="A5" r:id="rId1" xr:uid="{00000000-0004-0000-0700-000000000000}"/>
    <hyperlink ref="A6" r:id="rId2" location="382.05199" xr:uid="{00000000-0004-0000-0700-000003000000}"/>
    <hyperlink ref="A70" r:id="rId3" xr:uid="{6AD7A8C6-E013-433D-B79C-E29DE5701616}"/>
    <hyperlink ref="A74:C74" location="Fees!A1" display="Click here to go to the Fees sheet." xr:uid="{CE80C80C-EE40-4EFC-87B2-776073420F4B}"/>
    <hyperlink ref="A2:B2" location="'Table29-CBP'!A1" display="Click here to go back to Table29-CBP Sheet" xr:uid="{8639400D-8621-40E4-AA5A-F8935E843AB2}"/>
  </hyperlinks>
  <printOptions horizontalCentered="1"/>
  <pageMargins left="0.25" right="0.25" top="1" bottom="0.5" header="0.3" footer="0.3"/>
  <pageSetup scale="85" fitToHeight="0" orientation="portrait" cellComments="asDisplayed" r:id="rId4"/>
  <headerFooter scaleWithDoc="0">
    <oddHeader>&amp;C&amp;"Arial,Bold"Texas Commission on Environmental Quality
Form PI-1S-CBP&amp;11
&amp;10&amp;A&amp;RDate: ____________
Registration #: ____________
Company: ____________</oddHeader>
    <oddFooter>&amp;LVersion 6.0&amp;CPage &amp;P</oddFooter>
  </headerFooter>
  <rowBreaks count="1" manualBreakCount="1">
    <brk id="58" max="6" man="1"/>
  </rowBreaks>
  <tableParts count="6">
    <tablePart r:id="rId5"/>
    <tablePart r:id="rId6"/>
    <tablePart r:id="rId7"/>
    <tablePart r:id="rId8"/>
    <tablePart r:id="rId9"/>
    <tablePart r:id="rId10"/>
  </tableParts>
  <extLst>
    <ext xmlns:x14="http://schemas.microsoft.com/office/spreadsheetml/2009/9/main" uri="{78C0D931-6437-407d-A8EE-F0AAD7539E65}">
      <x14:conditionalFormattings>
        <x14:conditionalFormatting xmlns:xm="http://schemas.microsoft.com/office/excel/2006/main">
          <x14:cfRule type="expression" priority="1" id="{00000000-000E-0000-0B00-000001000000}">
            <xm:f>'PI-1S-CBP'!$B$6= "I disagree"</xm:f>
            <x14:dxf>
              <font>
                <color theme="0" tint="-0.499984740745262"/>
              </font>
              <fill>
                <patternFill>
                  <bgColor theme="0" tint="-0.499984740745262"/>
                </patternFill>
              </fill>
            </x14:dxf>
          </x14:cfRule>
          <xm:sqref>A1:C73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FFDCDC"/>
  </sheetPr>
  <dimension ref="A1:I29"/>
  <sheetViews>
    <sheetView showGridLines="0" zoomScaleNormal="100" workbookViewId="0">
      <selection sqref="A1:G1"/>
    </sheetView>
  </sheetViews>
  <sheetFormatPr defaultColWidth="0" defaultRowHeight="12.75" zeroHeight="1" x14ac:dyDescent="0.2"/>
  <cols>
    <col min="1" max="1" width="21.140625" style="5" customWidth="1"/>
    <col min="2" max="2" width="11.42578125" style="5" customWidth="1"/>
    <col min="3" max="3" width="17.7109375" style="5" customWidth="1"/>
    <col min="4" max="4" width="10" style="5" customWidth="1"/>
    <col min="5" max="6" width="11.42578125" style="5" customWidth="1"/>
    <col min="7" max="7" width="13.7109375" style="5" customWidth="1"/>
    <col min="8" max="8" width="50.7109375" style="5" customWidth="1"/>
    <col min="9" max="9" width="71.28515625" style="5" hidden="1" customWidth="1"/>
    <col min="10" max="16384" width="2.7109375" style="5" hidden="1"/>
  </cols>
  <sheetData>
    <row r="1" spans="1:9" ht="36" customHeight="1" thickBot="1" x14ac:dyDescent="0.25">
      <c r="A1" s="829" t="s">
        <v>38</v>
      </c>
      <c r="B1" s="830"/>
      <c r="C1" s="830"/>
      <c r="D1" s="830"/>
      <c r="E1" s="830"/>
      <c r="F1" s="830"/>
      <c r="G1" s="831"/>
      <c r="H1" s="56" t="s">
        <v>46</v>
      </c>
      <c r="I1" s="5" t="s">
        <v>581</v>
      </c>
    </row>
    <row r="2" spans="1:9" ht="15" customHeight="1" thickBot="1" x14ac:dyDescent="0.25">
      <c r="A2" s="843" t="s">
        <v>582</v>
      </c>
      <c r="B2" s="844"/>
      <c r="C2" s="844"/>
      <c r="D2" s="844"/>
      <c r="E2" s="844"/>
      <c r="F2" s="844"/>
      <c r="G2" s="845"/>
      <c r="H2" s="143"/>
    </row>
    <row r="3" spans="1:9" ht="140.1" customHeight="1" x14ac:dyDescent="0.2">
      <c r="A3" s="832" t="s">
        <v>583</v>
      </c>
      <c r="B3" s="833"/>
      <c r="C3" s="833"/>
      <c r="D3" s="833"/>
      <c r="E3" s="833"/>
      <c r="F3" s="833"/>
      <c r="G3" s="834"/>
      <c r="H3" s="849" t="s">
        <v>53</v>
      </c>
    </row>
    <row r="4" spans="1:9" ht="15" customHeight="1" thickBot="1" x14ac:dyDescent="0.25">
      <c r="A4" s="674" t="s">
        <v>584</v>
      </c>
      <c r="B4" s="804"/>
      <c r="C4" s="804"/>
      <c r="D4" s="804"/>
      <c r="E4" s="804"/>
      <c r="F4" s="804"/>
      <c r="G4" s="675"/>
      <c r="H4" s="850"/>
    </row>
    <row r="5" spans="1:9" ht="65.25" customHeight="1" thickBot="1" x14ac:dyDescent="0.25">
      <c r="A5" s="846" t="s">
        <v>585</v>
      </c>
      <c r="B5" s="847"/>
      <c r="C5" s="847"/>
      <c r="D5" s="847"/>
      <c r="E5" s="847"/>
      <c r="F5" s="847"/>
      <c r="G5" s="848"/>
      <c r="H5" s="75"/>
    </row>
    <row r="6" spans="1:9" ht="15" customHeight="1" thickBot="1" x14ac:dyDescent="0.25">
      <c r="A6" s="228"/>
      <c r="B6" s="229"/>
      <c r="C6" s="229"/>
      <c r="D6" s="229"/>
      <c r="E6" s="229"/>
      <c r="F6" s="229"/>
      <c r="G6" s="230"/>
      <c r="H6" s="22"/>
    </row>
    <row r="7" spans="1:9" ht="18" customHeight="1" x14ac:dyDescent="0.2">
      <c r="A7" s="835" t="s">
        <v>586</v>
      </c>
      <c r="B7" s="836"/>
      <c r="C7" s="836"/>
      <c r="D7" s="836"/>
      <c r="E7" s="836"/>
      <c r="F7" s="836"/>
      <c r="G7" s="837"/>
      <c r="H7" s="26"/>
    </row>
    <row r="8" spans="1:9" ht="15" customHeight="1" x14ac:dyDescent="0.2">
      <c r="A8" s="841" t="s">
        <v>587</v>
      </c>
      <c r="B8" s="842"/>
      <c r="C8" s="842"/>
      <c r="D8" s="842"/>
      <c r="E8" s="842"/>
      <c r="F8" s="842"/>
      <c r="G8" s="61"/>
      <c r="H8" s="26"/>
    </row>
    <row r="9" spans="1:9" ht="46.5" customHeight="1" x14ac:dyDescent="0.2">
      <c r="A9" s="838" t="s">
        <v>588</v>
      </c>
      <c r="B9" s="839"/>
      <c r="C9" s="839"/>
      <c r="D9" s="839"/>
      <c r="E9" s="839"/>
      <c r="F9" s="840"/>
      <c r="G9" s="61"/>
      <c r="H9" s="26"/>
      <c r="I9" s="5" t="s">
        <v>589</v>
      </c>
    </row>
    <row r="10" spans="1:9" ht="15" customHeight="1" x14ac:dyDescent="0.2">
      <c r="A10" s="838" t="s">
        <v>590</v>
      </c>
      <c r="B10" s="839"/>
      <c r="C10" s="839"/>
      <c r="D10" s="839"/>
      <c r="E10" s="839"/>
      <c r="F10" s="840"/>
      <c r="G10" s="87" t="str">
        <f>IF(AND('PI-1S-CBP'!B10="",'PI-1S-CBP'!B11=""),"",IF(Reference!Q17="No","$500.00","$3,000.00"))</f>
        <v/>
      </c>
      <c r="H10" s="26"/>
      <c r="I10" s="5" t="s">
        <v>589</v>
      </c>
    </row>
    <row r="11" spans="1:9" ht="15" customHeight="1" x14ac:dyDescent="0.2">
      <c r="A11" s="838" t="s">
        <v>591</v>
      </c>
      <c r="B11" s="839"/>
      <c r="C11" s="839"/>
      <c r="D11" s="839"/>
      <c r="E11" s="839"/>
      <c r="F11" s="840"/>
      <c r="G11" s="61"/>
      <c r="H11" s="26"/>
      <c r="I11" s="5" t="s">
        <v>589</v>
      </c>
    </row>
    <row r="12" spans="1:9" ht="45" customHeight="1" x14ac:dyDescent="0.2">
      <c r="A12" s="855" t="s">
        <v>592</v>
      </c>
      <c r="B12" s="856"/>
      <c r="C12" s="856"/>
      <c r="D12" s="857"/>
      <c r="E12" s="861"/>
      <c r="F12" s="862"/>
      <c r="G12" s="863"/>
      <c r="H12" s="26"/>
      <c r="I12" s="5" t="s">
        <v>589</v>
      </c>
    </row>
    <row r="13" spans="1:9" ht="30" customHeight="1" x14ac:dyDescent="0.2">
      <c r="A13" s="858" t="s">
        <v>593</v>
      </c>
      <c r="B13" s="859"/>
      <c r="C13" s="859"/>
      <c r="D13" s="859"/>
      <c r="E13" s="859"/>
      <c r="F13" s="859"/>
      <c r="G13" s="860"/>
      <c r="H13" s="26"/>
      <c r="I13" s="5" t="s">
        <v>589</v>
      </c>
    </row>
    <row r="14" spans="1:9" ht="15.75" customHeight="1" thickBot="1" x14ac:dyDescent="0.25">
      <c r="A14" s="852" t="s">
        <v>594</v>
      </c>
      <c r="B14" s="853"/>
      <c r="C14" s="853"/>
      <c r="D14" s="853"/>
      <c r="E14" s="853"/>
      <c r="F14" s="853"/>
      <c r="G14" s="854"/>
      <c r="H14" s="26"/>
      <c r="I14" s="5" t="s">
        <v>589</v>
      </c>
    </row>
    <row r="15" spans="1:9" ht="15.75" customHeight="1" thickBot="1" x14ac:dyDescent="0.25">
      <c r="A15" s="808"/>
      <c r="B15" s="809"/>
      <c r="C15" s="809"/>
      <c r="D15" s="809"/>
      <c r="E15" s="809"/>
      <c r="F15" s="809"/>
      <c r="G15" s="810"/>
      <c r="H15" s="26"/>
    </row>
    <row r="16" spans="1:9" ht="18" customHeight="1" x14ac:dyDescent="0.2">
      <c r="A16" s="826" t="s">
        <v>595</v>
      </c>
      <c r="B16" s="827"/>
      <c r="C16" s="827"/>
      <c r="D16" s="827"/>
      <c r="E16" s="827"/>
      <c r="F16" s="827"/>
      <c r="G16" s="828"/>
      <c r="H16" s="22"/>
    </row>
    <row r="17" spans="1:8" ht="33" customHeight="1" thickBot="1" x14ac:dyDescent="0.25">
      <c r="A17" s="869" t="s">
        <v>596</v>
      </c>
      <c r="B17" s="870"/>
      <c r="C17" s="870"/>
      <c r="D17" s="870"/>
      <c r="E17" s="870"/>
      <c r="F17" s="870"/>
      <c r="G17" s="227">
        <v>900</v>
      </c>
      <c r="H17" s="22"/>
    </row>
    <row r="18" spans="1:8" ht="15" customHeight="1" thickBot="1" x14ac:dyDescent="0.25">
      <c r="A18" s="811"/>
      <c r="B18" s="812"/>
      <c r="C18" s="812"/>
      <c r="D18" s="812"/>
      <c r="E18" s="812"/>
      <c r="F18" s="812"/>
      <c r="G18" s="813"/>
      <c r="H18" s="22"/>
    </row>
    <row r="19" spans="1:8" ht="18" customHeight="1" thickBot="1" x14ac:dyDescent="0.3">
      <c r="A19" s="871" t="s">
        <v>597</v>
      </c>
      <c r="B19" s="872"/>
      <c r="C19" s="872"/>
      <c r="D19" s="872"/>
      <c r="E19" s="872"/>
      <c r="F19" s="872"/>
      <c r="G19" s="873"/>
      <c r="H19" s="22"/>
    </row>
    <row r="20" spans="1:8" ht="15" customHeight="1" x14ac:dyDescent="0.2">
      <c r="A20" s="867" t="s">
        <v>598</v>
      </c>
      <c r="B20" s="868"/>
      <c r="C20" s="868"/>
      <c r="D20" s="868"/>
      <c r="E20" s="868"/>
      <c r="F20" s="868"/>
      <c r="G20" s="39"/>
      <c r="H20" s="22"/>
    </row>
    <row r="21" spans="1:8" ht="15" customHeight="1" x14ac:dyDescent="0.2">
      <c r="A21" s="867" t="s">
        <v>599</v>
      </c>
      <c r="B21" s="868"/>
      <c r="C21" s="868"/>
      <c r="D21" s="868"/>
      <c r="E21" s="868"/>
      <c r="F21" s="868"/>
      <c r="G21" s="40"/>
      <c r="H21" s="22"/>
    </row>
    <row r="22" spans="1:8" ht="45" customHeight="1" x14ac:dyDescent="0.2">
      <c r="A22" s="649" t="s">
        <v>592</v>
      </c>
      <c r="B22" s="787"/>
      <c r="C22" s="787"/>
      <c r="D22" s="851"/>
      <c r="E22" s="864"/>
      <c r="F22" s="865"/>
      <c r="G22" s="866"/>
      <c r="H22" s="22"/>
    </row>
    <row r="23" spans="1:8" ht="15" thickBot="1" x14ac:dyDescent="0.25">
      <c r="A23" s="652" t="s">
        <v>600</v>
      </c>
      <c r="B23" s="814"/>
      <c r="C23" s="814"/>
      <c r="D23" s="815"/>
      <c r="E23" s="816"/>
      <c r="F23" s="817"/>
      <c r="G23" s="818"/>
      <c r="H23" s="22"/>
    </row>
    <row r="24" spans="1:8" ht="15" thickBot="1" x14ac:dyDescent="0.25">
      <c r="A24" s="806"/>
      <c r="B24" s="793"/>
      <c r="C24" s="793"/>
      <c r="D24" s="793"/>
      <c r="E24" s="793"/>
      <c r="F24" s="793"/>
      <c r="G24" s="807"/>
      <c r="H24" s="22"/>
    </row>
    <row r="25" spans="1:8" ht="15" customHeight="1" thickBot="1" x14ac:dyDescent="0.25">
      <c r="A25" s="826" t="s">
        <v>601</v>
      </c>
      <c r="B25" s="827"/>
      <c r="C25" s="827"/>
      <c r="D25" s="827"/>
      <c r="E25" s="827"/>
      <c r="F25" s="827"/>
      <c r="G25" s="828"/>
      <c r="H25" s="22"/>
    </row>
    <row r="26" spans="1:8" ht="15" customHeight="1" x14ac:dyDescent="0.2">
      <c r="A26" s="820" t="s">
        <v>602</v>
      </c>
      <c r="B26" s="821"/>
      <c r="C26" s="821"/>
      <c r="D26" s="821"/>
      <c r="E26" s="821"/>
      <c r="F26" s="821"/>
      <c r="G26" s="79" t="s">
        <v>219</v>
      </c>
      <c r="H26" s="22"/>
    </row>
    <row r="27" spans="1:8" ht="28.5" customHeight="1" x14ac:dyDescent="0.2">
      <c r="A27" s="822" t="s">
        <v>603</v>
      </c>
      <c r="B27" s="823"/>
      <c r="C27" s="823"/>
      <c r="D27" s="823"/>
      <c r="E27" s="823"/>
      <c r="F27" s="823"/>
      <c r="G27" s="80" t="s">
        <v>219</v>
      </c>
      <c r="H27" s="22"/>
    </row>
    <row r="28" spans="1:8" ht="29.25" customHeight="1" thickBot="1" x14ac:dyDescent="0.25">
      <c r="A28" s="824" t="s">
        <v>604</v>
      </c>
      <c r="B28" s="825"/>
      <c r="C28" s="825"/>
      <c r="D28" s="825"/>
      <c r="E28" s="825"/>
      <c r="F28" s="825"/>
      <c r="G28" s="81" t="str">
        <f>IF(OR(G26="no",AND(G26="yes",G27="yes")),"No",IF(AND(G26="yes",G27="no"),"Yes",""))</f>
        <v>No</v>
      </c>
      <c r="H28" s="78"/>
    </row>
    <row r="29" spans="1:8" ht="14.25" x14ac:dyDescent="0.2">
      <c r="A29" s="819" t="s">
        <v>605</v>
      </c>
      <c r="B29" s="819"/>
      <c r="C29" s="819"/>
      <c r="D29" s="819"/>
      <c r="E29" s="819"/>
      <c r="F29" s="819"/>
      <c r="G29" s="819"/>
      <c r="H29" s="819"/>
    </row>
  </sheetData>
  <sheetProtection algorithmName="SHA-512" hashValue="MVvs1ucY1pQLxar8ZW+OBPZlwn+2bw9IwfzfJHV0yjyKCQFQrRcm+AxjVYCO6RGwNw195n/iu6SbQA5HXUp2IQ==" saltValue="LN8pCxkBg209kjUdMyKRGg==" spinCount="100000" sheet="1" objects="1" scenarios="1" formatColumns="0" formatRows="0" autoFilter="0"/>
  <mergeCells count="32">
    <mergeCell ref="H3:H4"/>
    <mergeCell ref="A22:D22"/>
    <mergeCell ref="A14:G14"/>
    <mergeCell ref="A11:F11"/>
    <mergeCell ref="A12:D12"/>
    <mergeCell ref="A13:G13"/>
    <mergeCell ref="E12:G12"/>
    <mergeCell ref="E22:G22"/>
    <mergeCell ref="A21:F21"/>
    <mergeCell ref="A17:F17"/>
    <mergeCell ref="A20:F20"/>
    <mergeCell ref="A16:G16"/>
    <mergeCell ref="A19:G19"/>
    <mergeCell ref="A1:G1"/>
    <mergeCell ref="A3:G3"/>
    <mergeCell ref="A7:G7"/>
    <mergeCell ref="A9:F9"/>
    <mergeCell ref="A10:F10"/>
    <mergeCell ref="A8:F8"/>
    <mergeCell ref="A2:G2"/>
    <mergeCell ref="A4:G4"/>
    <mergeCell ref="A5:G5"/>
    <mergeCell ref="A29:H29"/>
    <mergeCell ref="A26:F26"/>
    <mergeCell ref="A27:F27"/>
    <mergeCell ref="A28:F28"/>
    <mergeCell ref="A25:G25"/>
    <mergeCell ref="A24:G24"/>
    <mergeCell ref="A15:G15"/>
    <mergeCell ref="A18:G18"/>
    <mergeCell ref="A23:D23"/>
    <mergeCell ref="E23:G23"/>
  </mergeCells>
  <conditionalFormatting sqref="A9:G14 A15">
    <cfRule type="expression" dxfId="14" priority="4">
      <formula>$G$8="no"</formula>
    </cfRule>
  </conditionalFormatting>
  <conditionalFormatting sqref="A27:G27">
    <cfRule type="expression" dxfId="13" priority="74">
      <formula>$G$26="no"</formula>
    </cfRule>
  </conditionalFormatting>
  <conditionalFormatting sqref="G21">
    <cfRule type="expression" dxfId="9" priority="8">
      <formula>AND($G$21&lt;&gt;"",$G$21&lt;&gt;$G$17)</formula>
    </cfRule>
  </conditionalFormatting>
  <conditionalFormatting sqref="G28">
    <cfRule type="expression" dxfId="8" priority="712">
      <formula>$G$28="Yes"</formula>
    </cfRule>
  </conditionalFormatting>
  <dataValidations count="14">
    <dataValidation allowBlank="1" showErrorMessage="1" promptTitle="Payment Information" prompt="Enter the check, money order, ePay Voucher, or other transaction number." sqref="E22" xr:uid="{00000000-0002-0000-0900-000000000000}"/>
    <dataValidation allowBlank="1" showErrorMessage="1" promptTitle="Payment Information" prompt="Enter the Company Name as it appears on the check." sqref="E23" xr:uid="{00000000-0002-0000-0900-000001000000}"/>
    <dataValidation allowBlank="1" showErrorMessage="1" promptTitle="Note:" prompt="If a P.E. Seal is required, please apply the seal to the hardcopy of this application." sqref="A27:A28" xr:uid="{00000000-0002-0000-0900-000002000000}"/>
    <dataValidation type="list" allowBlank="1" showErrorMessage="1" prompt="Is the estimated capital cost of the project greater than $2 million dollars? Enter or select &quot;Yes&quot; or &quot;No&quot;. Note: If yes, submit the application under the seal of a licensed Texas Professional Engineer (P.E.)." sqref="G26" xr:uid="{00000000-0002-0000-0900-000003000000}">
      <formula1>"Yes,No"</formula1>
    </dataValidation>
    <dataValidation type="list" allowBlank="1" showInputMessage="1" showErrorMessage="1" sqref="G27" xr:uid="{00000000-0002-0000-0900-000004000000}">
      <formula1>"Yes,No"</formula1>
    </dataValidation>
    <dataValidation allowBlank="1" showErrorMessage="1" promptTitle="Payment Information" prompt="Enter the fee amount." sqref="G21" xr:uid="{00000000-0002-0000-0900-000005000000}"/>
    <dataValidation type="list" allowBlank="1" showErrorMessage="1" prompt="Was the fee paid online? Enter or select &quot;yes&quot; or &quot;no&quot;." sqref="G20" xr:uid="{00000000-0002-0000-0900-000006000000}">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7:A18 A4:A6 A8:A12" xr:uid="{00000000-0002-0000-0900-000007000000}">
      <formula1>1</formula1>
    </dataValidation>
    <dataValidation allowBlank="1" showErrorMessage="1" promptTitle="Internal Comments" prompt="This cell intentionally left blank for internal comments. All internal comments must be submitted prior to application submittal." sqref="H1:H3" xr:uid="{00000000-0002-0000-0900-000008000000}"/>
    <dataValidation allowBlank="1" showErrorMessage="1" prompt="Enter the check, money order, epay voucher, or other transaction number. Enter &quot;STEERS&quot; if submitting and paying through STEERS." sqref="E12:G12" xr:uid="{00000000-0002-0000-0100-000061000000}"/>
    <dataValidation type="list" allowBlank="1" showErrorMessage="1" error="The project must benefit the economy of this state or an area of this state to qualify for expedited permitting." prompt="Does the purpose of the application associated with this request to expedite benefit the economy of this state or an area of this state. If no, this project does not qualify for expedited permitting. Select yes." sqref="G9" xr:uid="{00000000-0002-0000-0100-00004E000000}">
      <formula1>"Yes"</formula1>
    </dataValidation>
    <dataValidation type="list" allowBlank="1" showErrorMessage="1" prompt="Are you requesting to expedite this project? Select yes or no." sqref="G8" xr:uid="{00000000-0002-0000-0100-000004000000}">
      <formula1>"Yes,No"</formula1>
    </dataValidation>
    <dataValidation type="list" allowBlank="1" showErrorMessage="1" prompt="select the surcharge amount" sqref="G11" xr:uid="{00000000-0002-0000-0100-000062000000}">
      <formula1>$G$10</formula1>
    </dataValidation>
    <dataValidation allowBlank="1" showErrorMessage="1" promptTitle="Internal Comments" prompt="This cell may be used for applicant internal comments. All comments must be deleted prior to application submittal." sqref="H5:H28" xr:uid="{00000000-0002-0000-0900-000009000000}"/>
  </dataValidations>
  <hyperlinks>
    <hyperlink ref="A4:G4" r:id="rId1" tooltip="Click to link to TCEQ's ePay website." display="www3.tceq.texas.gov/epay/" xr:uid="{00000000-0004-0000-0900-000000000000}"/>
    <hyperlink ref="A4" r:id="rId2" xr:uid="{00000000-0004-0000-0900-000001000000}"/>
    <hyperlink ref="A14" r:id="rId3" xr:uid="{00000000-0004-0000-0100-00000B000000}"/>
    <hyperlink ref="A14:G14" r:id="rId4" display="https://www.tceq.texas.gov/assets/public/permitting/air/Forms/NewSourceReview/20707.pdf" xr:uid="{00000000-0004-0000-0100-00000C000000}"/>
    <hyperlink ref="A2" location="'Public Notice'!A1" display="Click here to go back to the Public Notice sheet." xr:uid="{5415900C-6B87-4D39-A633-C4C3E4710D57}"/>
    <hyperlink ref="A29:H29" location="Copies!A1" display="Click here to go to the Copies sheet." xr:uid="{583688B0-4DB4-41F3-A610-1D0FB6FBF98F}"/>
  </hyperlinks>
  <printOptions horizontalCentered="1"/>
  <pageMargins left="0.25" right="0.25" top="1" bottom="0.5" header="0.3" footer="0.3"/>
  <pageSetup fitToHeight="0" orientation="portrait" cellComments="asDisplayed" r:id="rId5"/>
  <headerFooter scaleWithDoc="0">
    <oddHeader>&amp;C&amp;"Arial,Bold"Texas Commission on Environmental Quality
Form PI-1S-CBP&amp;11
&amp;10&amp;A&amp;RDate: ____________
Registration #: ____________
Company: ____________</oddHeader>
    <oddFooter>&amp;LVersion 6.0&amp;CPage &amp;P</oddFooter>
  </headerFooter>
  <extLst>
    <ext xmlns:x14="http://schemas.microsoft.com/office/spreadsheetml/2009/9/main" uri="{78C0D931-6437-407d-A8EE-F0AAD7539E65}">
      <x14:conditionalFormattings>
        <x14:conditionalFormatting xmlns:xm="http://schemas.microsoft.com/office/excel/2006/main">
          <x14:cfRule type="expression" priority="2" id="{830B13E7-3E84-48BE-B56B-9B522DD80990}">
            <xm:f>COUNTIF('6004Checklist'!$A$23,"*temporary*")&gt;0</xm:f>
            <x14:dxf>
              <numFmt numFmtId="166" formatCode=";;;"/>
              <fill>
                <patternFill>
                  <bgColor theme="0" tint="-0.499984740745262"/>
                </patternFill>
              </fill>
            </x14:dxf>
          </x14:cfRule>
          <xm:sqref>A1:H1 A2 H2 A3:H14 A15 H15 A16:H17 A18 H18 A19:H23 A24 H24 A25:H28</xm:sqref>
        </x14:conditionalFormatting>
        <x14:conditionalFormatting xmlns:xm="http://schemas.microsoft.com/office/excel/2006/main">
          <x14:cfRule type="expression" priority="1" id="{00000000-000E-0000-0A00-000001000000}">
            <xm:f>'PI-1S-CBP'!$B$6="I disagree"</xm:f>
            <x14:dxf>
              <font>
                <color theme="0" tint="-0.499984740745262"/>
              </font>
              <fill>
                <patternFill>
                  <bgColor theme="0" tint="-0.499984740745262"/>
                </patternFill>
              </fill>
            </x14:dxf>
          </x14:cfRule>
          <xm:sqref>A1:H28 A30:H1048576</xm:sqref>
        </x14:conditionalFormatting>
        <x14:conditionalFormatting xmlns:xm="http://schemas.microsoft.com/office/excel/2006/main">
          <x14:cfRule type="expression" priority="6" id="{6653AC20-8287-446E-8D6B-FD0A12C28536}">
            <xm:f>Reference!$S$17="no"</xm:f>
            <x14:dxf>
              <numFmt numFmtId="166" formatCode=";;;"/>
              <fill>
                <patternFill>
                  <bgColor theme="0" tint="-0.499984740745262"/>
                </patternFill>
              </fill>
            </x14:dxf>
          </x14:cfRule>
          <xm:sqref>A15:H17 A18 H18 A19:H23 A24 H24 A25:H28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172008e1-d448-4598-b513-9bb02933dd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F32951DF6FD64EB8A3C30768BF2FEB" ma:contentTypeVersion="12" ma:contentTypeDescription="Create a new document." ma:contentTypeScope="" ma:versionID="e52b192e583685197977442bd4845f3b">
  <xsd:schema xmlns:xsd="http://www.w3.org/2001/XMLSchema" xmlns:xs="http://www.w3.org/2001/XMLSchema" xmlns:p="http://schemas.microsoft.com/office/2006/metadata/properties" xmlns:ns3="bebb7108-8678-4f11-8bdb-252d1d8d1891" xmlns:ns4="172008e1-d448-4598-b513-9bb02933dd10" targetNamespace="http://schemas.microsoft.com/office/2006/metadata/properties" ma:root="true" ma:fieldsID="d9bb9e10be735dbf77133a2ad9dac5f7" ns3:_="" ns4:_="">
    <xsd:import namespace="bebb7108-8678-4f11-8bdb-252d1d8d1891"/>
    <xsd:import namespace="172008e1-d448-4598-b513-9bb02933dd1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bb7108-8678-4f11-8bdb-252d1d8d18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2008e1-d448-4598-b513-9bb02933dd1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8A660E-338D-4DE5-85B5-1B2DB4179FDA}">
  <ds:schemaRefs>
    <ds:schemaRef ds:uri="http://schemas.microsoft.com/sharepoint/v3/contenttype/forms"/>
  </ds:schemaRefs>
</ds:datastoreItem>
</file>

<file path=customXml/itemProps2.xml><?xml version="1.0" encoding="utf-8"?>
<ds:datastoreItem xmlns:ds="http://schemas.openxmlformats.org/officeDocument/2006/customXml" ds:itemID="{500164D9-ECC4-4C49-BBA8-915736356B47}">
  <ds:schemaRefs>
    <ds:schemaRef ds:uri="http://www.w3.org/XML/1998/namespace"/>
    <ds:schemaRef ds:uri="bebb7108-8678-4f11-8bdb-252d1d8d1891"/>
    <ds:schemaRef ds:uri="http://schemas.openxmlformats.org/package/2006/metadata/core-properties"/>
    <ds:schemaRef ds:uri="http://schemas.microsoft.com/office/2006/metadata/propertie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172008e1-d448-4598-b513-9bb02933dd10"/>
  </ds:schemaRefs>
</ds:datastoreItem>
</file>

<file path=customXml/itemProps3.xml><?xml version="1.0" encoding="utf-8"?>
<ds:datastoreItem xmlns:ds="http://schemas.openxmlformats.org/officeDocument/2006/customXml" ds:itemID="{1BB40AAD-443B-49EA-BC71-6406224C7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bb7108-8678-4f11-8bdb-252d1d8d1891"/>
    <ds:schemaRef ds:uri="172008e1-d448-4598-b513-9bb02933dd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25</vt:i4>
      </vt:variant>
    </vt:vector>
  </HeadingPairs>
  <TitlesOfParts>
    <vt:vector size="37" baseType="lpstr">
      <vt:lpstr>Cover</vt:lpstr>
      <vt:lpstr>PI-1S-CBP</vt:lpstr>
      <vt:lpstr>6004Checklist</vt:lpstr>
      <vt:lpstr>6008Checklist</vt:lpstr>
      <vt:lpstr>Table20-CBP</vt:lpstr>
      <vt:lpstr>Table11-CBP</vt:lpstr>
      <vt:lpstr>Table29-CBP</vt:lpstr>
      <vt:lpstr>Public Notice</vt:lpstr>
      <vt:lpstr>Fees</vt:lpstr>
      <vt:lpstr>Copies</vt:lpstr>
      <vt:lpstr>6004Requirements</vt:lpstr>
      <vt:lpstr>6008Requirements</vt:lpstr>
      <vt:lpstr>All60045A</vt:lpstr>
      <vt:lpstr>ControlBatch</vt:lpstr>
      <vt:lpstr>ControlPiles</vt:lpstr>
      <vt:lpstr>ControlPilesAlt</vt:lpstr>
      <vt:lpstr>Counties</vt:lpstr>
      <vt:lpstr>'6004Checklist'!Print_Area</vt:lpstr>
      <vt:lpstr>'6004Requirements'!Print_Area</vt:lpstr>
      <vt:lpstr>'6008Checklist'!Print_Area</vt:lpstr>
      <vt:lpstr>'6008Requirements'!Print_Area</vt:lpstr>
      <vt:lpstr>Copies!Print_Area</vt:lpstr>
      <vt:lpstr>Cover!Print_Area</vt:lpstr>
      <vt:lpstr>Fees!Print_Area</vt:lpstr>
      <vt:lpstr>'PI-1S-CBP'!Print_Area</vt:lpstr>
      <vt:lpstr>'Public Notice'!Print_Area</vt:lpstr>
      <vt:lpstr>'Table11-CBP'!Print_Area</vt:lpstr>
      <vt:lpstr>'Table20-CBP'!Print_Area</vt:lpstr>
      <vt:lpstr>'Table29-CBP'!Print_Area</vt:lpstr>
      <vt:lpstr>RoadControl</vt:lpstr>
      <vt:lpstr>RoadcontrolAlt</vt:lpstr>
      <vt:lpstr>SIC</vt:lpstr>
      <vt:lpstr>Specialty60045A</vt:lpstr>
      <vt:lpstr>Today</vt:lpstr>
      <vt:lpstr>Type6004</vt:lpstr>
      <vt:lpstr>Type6008</vt:lpstr>
      <vt:lpstr>Yes_No</vt:lpstr>
    </vt:vector>
  </TitlesOfParts>
  <Manager>TCEQ</Manager>
  <Company>TCEQ</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Form 20871 - PI-1S-CBP</dc:title>
  <dc:subject>TCEQ - PI-1S-CBP</dc:subject>
  <dc:creator>TCEQ</dc:creator>
  <cp:keywords>air,permit,new,source,review,NSR,application,form,spreadsheet</cp:keywords>
  <dc:description/>
  <cp:lastModifiedBy>Vern Casal</cp:lastModifiedBy>
  <cp:revision/>
  <dcterms:created xsi:type="dcterms:W3CDTF">2018-04-06T13:43:21Z</dcterms:created>
  <dcterms:modified xsi:type="dcterms:W3CDTF">2024-03-14T13:24:09Z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PI-1S-CBP</vt:lpwstr>
  </property>
  <property fmtid="{D5CDD505-2E9C-101B-9397-08002B2CF9AE}" pid="3" name="Version Number">
    <vt:lpwstr>6.0.1</vt:lpwstr>
  </property>
  <property fmtid="{D5CDD505-2E9C-101B-9397-08002B2CF9AE}" pid="4" name="Version Date">
    <vt:filetime>2024-03-15T10:00:00Z</vt:filetime>
  </property>
  <property fmtid="{D5CDD505-2E9C-101B-9397-08002B2CF9AE}" pid="5" name="ContentTypeId">
    <vt:lpwstr>0x01010008F32951DF6FD64EB8A3C30768BF2FEB</vt:lpwstr>
  </property>
</Properties>
</file>